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user\Desktop\Костенко Т.А\Раскрытие информации на сайте\Информация о величине резервируемой максимальной мощности\"/>
    </mc:Choice>
  </mc:AlternateContent>
  <xr:revisionPtr revIDLastSave="0" documentId="13_ncr:1_{417B5405-3C3C-47ED-AEF9-DFF76AB6579D}" xr6:coauthVersionLast="47" xr6:coauthVersionMax="47" xr10:uidLastSave="{00000000-0000-0000-0000-000000000000}"/>
  <bookViews>
    <workbookView xWindow="-120" yWindow="-120" windowWidth="29040" windowHeight="15840" tabRatio="527" firstSheet="8" activeTab="8" xr2:uid="{00000000-000D-0000-FFFF-FFFF00000000}"/>
  </bookViews>
  <sheets>
    <sheet name="1 кв." sheetId="1" state="hidden" r:id="rId1"/>
    <sheet name="2 кв. " sheetId="6" state="hidden" r:id="rId2"/>
    <sheet name="3 " sheetId="10" state="hidden" r:id="rId3"/>
    <sheet name="3 кв." sheetId="7" state="hidden" r:id="rId4"/>
    <sheet name="4 кв. " sheetId="8" state="hidden" r:id="rId5"/>
    <sheet name="3 кв. 2016" sheetId="3" state="hidden" r:id="rId6"/>
    <sheet name="4 кв. 2-016" sheetId="5" state="hidden" r:id="rId7"/>
    <sheet name="Общ" sheetId="12" state="hidden" r:id="rId8"/>
    <sheet name="резерв по кварталам" sheetId="13" r:id="rId9"/>
  </sheets>
  <definedNames>
    <definedName name="_xlnm.Print_Area" localSheetId="0">'1 кв.'!$A$1:$K$17</definedName>
    <definedName name="_xlnm.Print_Area" localSheetId="1">'2 кв. '!$A$1:$K$17</definedName>
    <definedName name="_xlnm.Print_Area" localSheetId="2">'3 '!$A$1:$K$17</definedName>
    <definedName name="_xlnm.Print_Area" localSheetId="3">'3 кв.'!$A$1:$K$17</definedName>
    <definedName name="_xlnm.Print_Area" localSheetId="4">'4 кв. '!$A$1:$K$17</definedName>
    <definedName name="_xlnm.Print_Area" localSheetId="7">Общ!$A$1:$P$60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8" i="12" l="1"/>
  <c r="G57" i="12"/>
  <c r="I57" i="12"/>
  <c r="K57" i="12"/>
  <c r="F57" i="12"/>
  <c r="K56" i="12"/>
  <c r="I56" i="12"/>
  <c r="I58" i="12" s="1"/>
  <c r="G56" i="12"/>
  <c r="G58" i="12" s="1"/>
  <c r="F56" i="12"/>
  <c r="F58" i="12" s="1"/>
  <c r="J41" i="12"/>
  <c r="H41" i="12"/>
  <c r="J53" i="12"/>
  <c r="H53" i="12"/>
  <c r="L41" i="12"/>
  <c r="L29" i="12" l="1"/>
  <c r="J29" i="12"/>
  <c r="H29" i="12"/>
  <c r="L16" i="12" l="1"/>
  <c r="L57" i="12" s="1"/>
  <c r="J16" i="12"/>
  <c r="J57" i="12" s="1"/>
  <c r="H16" i="12"/>
  <c r="H57" i="12" s="1"/>
  <c r="M57" i="12" s="1"/>
  <c r="J52" i="12" l="1"/>
  <c r="H52" i="12"/>
  <c r="J50" i="12"/>
  <c r="H50" i="12"/>
  <c r="J49" i="12"/>
  <c r="H49" i="12"/>
  <c r="H48" i="12"/>
  <c r="J48" i="12" s="1"/>
  <c r="H47" i="12"/>
  <c r="J47" i="12" s="1"/>
  <c r="H46" i="12"/>
  <c r="J46" i="12" s="1"/>
  <c r="H45" i="12"/>
  <c r="J45" i="12" s="1"/>
  <c r="J44" i="12"/>
  <c r="H44" i="12"/>
  <c r="L40" i="12" l="1"/>
  <c r="J40" i="12"/>
  <c r="H40" i="12"/>
  <c r="L38" i="12"/>
  <c r="J38" i="12"/>
  <c r="H38" i="12"/>
  <c r="L37" i="12"/>
  <c r="J37" i="12"/>
  <c r="H37" i="12"/>
  <c r="H36" i="12"/>
  <c r="J36" i="12" s="1"/>
  <c r="L36" i="12" s="1"/>
  <c r="H35" i="12"/>
  <c r="J35" i="12" s="1"/>
  <c r="L35" i="12" s="1"/>
  <c r="H34" i="12"/>
  <c r="J34" i="12" s="1"/>
  <c r="L34" i="12" s="1"/>
  <c r="H33" i="12"/>
  <c r="J33" i="12" s="1"/>
  <c r="L33" i="12" s="1"/>
  <c r="L32" i="12"/>
  <c r="J32" i="12"/>
  <c r="H32" i="12"/>
  <c r="L28" i="12"/>
  <c r="J28" i="12"/>
  <c r="H28" i="12"/>
  <c r="L26" i="12"/>
  <c r="J26" i="12"/>
  <c r="H26" i="12"/>
  <c r="L25" i="12"/>
  <c r="J25" i="12"/>
  <c r="H25" i="12"/>
  <c r="H24" i="12"/>
  <c r="J24" i="12" s="1"/>
  <c r="L24" i="12" s="1"/>
  <c r="H23" i="12"/>
  <c r="J23" i="12" s="1"/>
  <c r="L23" i="12" s="1"/>
  <c r="H22" i="12"/>
  <c r="J22" i="12" s="1"/>
  <c r="L22" i="12" s="1"/>
  <c r="H21" i="12"/>
  <c r="J21" i="12" s="1"/>
  <c r="L21" i="12" s="1"/>
  <c r="L20" i="12"/>
  <c r="J20" i="12"/>
  <c r="H20" i="12"/>
  <c r="L15" i="12"/>
  <c r="J15" i="12"/>
  <c r="H15" i="12"/>
  <c r="L14" i="12"/>
  <c r="J14" i="12"/>
  <c r="L13" i="12"/>
  <c r="J13" i="12"/>
  <c r="H13" i="12"/>
  <c r="L12" i="12"/>
  <c r="J12" i="12"/>
  <c r="H12" i="12"/>
  <c r="L11" i="12"/>
  <c r="J11" i="12"/>
  <c r="H11" i="12"/>
  <c r="L10" i="12"/>
  <c r="J10" i="12"/>
  <c r="H10" i="12"/>
  <c r="L9" i="12"/>
  <c r="J9" i="12"/>
  <c r="H9" i="12"/>
  <c r="L8" i="12"/>
  <c r="J8" i="12"/>
  <c r="H8" i="12"/>
  <c r="L7" i="12"/>
  <c r="L56" i="12" s="1"/>
  <c r="L58" i="12" s="1"/>
  <c r="J7" i="12"/>
  <c r="H7" i="12"/>
  <c r="H56" i="12" l="1"/>
  <c r="J56" i="12"/>
  <c r="J58" i="12" s="1"/>
  <c r="K17" i="6"/>
  <c r="K12" i="6"/>
  <c r="K11" i="6"/>
  <c r="K6" i="6"/>
  <c r="I17" i="6"/>
  <c r="I12" i="6"/>
  <c r="I11" i="6"/>
  <c r="I6" i="6"/>
  <c r="I6" i="10"/>
  <c r="K17" i="10"/>
  <c r="K12" i="10"/>
  <c r="K11" i="10"/>
  <c r="K6" i="10"/>
  <c r="I17" i="10"/>
  <c r="I12" i="10"/>
  <c r="I11" i="10"/>
  <c r="M56" i="12" l="1"/>
  <c r="H58" i="12"/>
  <c r="M58" i="12" s="1"/>
  <c r="G17" i="10"/>
  <c r="G16" i="10"/>
  <c r="I16" i="10" s="1"/>
  <c r="K16" i="10" s="1"/>
  <c r="G15" i="10"/>
  <c r="I15" i="10" s="1"/>
  <c r="K15" i="10" s="1"/>
  <c r="G14" i="10"/>
  <c r="I14" i="10" s="1"/>
  <c r="K14" i="10" s="1"/>
  <c r="G12" i="10"/>
  <c r="G11" i="10"/>
  <c r="G10" i="10"/>
  <c r="I10" i="10" s="1"/>
  <c r="K10" i="10" s="1"/>
  <c r="G9" i="10"/>
  <c r="I9" i="10" s="1"/>
  <c r="K9" i="10" s="1"/>
  <c r="G8" i="10"/>
  <c r="I8" i="10" s="1"/>
  <c r="K8" i="10" s="1"/>
  <c r="G7" i="10"/>
  <c r="I7" i="10" s="1"/>
  <c r="K7" i="10" s="1"/>
  <c r="G6" i="10"/>
  <c r="K6" i="8" l="1"/>
  <c r="K17" i="8"/>
  <c r="I17" i="8"/>
  <c r="G17" i="8"/>
  <c r="J16" i="8"/>
  <c r="K16" i="8" s="1"/>
  <c r="H16" i="8"/>
  <c r="I16" i="8" s="1"/>
  <c r="F16" i="8"/>
  <c r="G16" i="8" s="1"/>
  <c r="J15" i="8"/>
  <c r="K15" i="8" s="1"/>
  <c r="H15" i="8"/>
  <c r="I15" i="8" s="1"/>
  <c r="F15" i="8"/>
  <c r="G15" i="8" s="1"/>
  <c r="J14" i="8"/>
  <c r="K14" i="8" s="1"/>
  <c r="H14" i="8"/>
  <c r="I14" i="8" s="1"/>
  <c r="F14" i="8"/>
  <c r="G14" i="8" s="1"/>
  <c r="K13" i="8"/>
  <c r="I13" i="8"/>
  <c r="K12" i="8"/>
  <c r="I12" i="8"/>
  <c r="G12" i="8"/>
  <c r="K11" i="8"/>
  <c r="I11" i="8"/>
  <c r="G11" i="8"/>
  <c r="K10" i="8"/>
  <c r="I10" i="8"/>
  <c r="G10" i="8"/>
  <c r="K9" i="8"/>
  <c r="I9" i="8"/>
  <c r="G9" i="8"/>
  <c r="K8" i="8"/>
  <c r="I8" i="8"/>
  <c r="G8" i="8"/>
  <c r="K7" i="8"/>
  <c r="I7" i="8"/>
  <c r="G7" i="8"/>
  <c r="I6" i="8"/>
  <c r="G6" i="8"/>
  <c r="K17" i="7" l="1"/>
  <c r="I17" i="7"/>
  <c r="G17" i="7"/>
  <c r="J16" i="7"/>
  <c r="K16" i="7" s="1"/>
  <c r="H16" i="7"/>
  <c r="I16" i="7" s="1"/>
  <c r="F16" i="7"/>
  <c r="G16" i="7" s="1"/>
  <c r="J15" i="7"/>
  <c r="K15" i="7" s="1"/>
  <c r="H15" i="7"/>
  <c r="I15" i="7" s="1"/>
  <c r="F15" i="7"/>
  <c r="G15" i="7" s="1"/>
  <c r="J14" i="7"/>
  <c r="K14" i="7" s="1"/>
  <c r="H14" i="7"/>
  <c r="I14" i="7" s="1"/>
  <c r="F14" i="7"/>
  <c r="G14" i="7" s="1"/>
  <c r="K13" i="7"/>
  <c r="I13" i="7"/>
  <c r="K12" i="7"/>
  <c r="I12" i="7"/>
  <c r="G12" i="7"/>
  <c r="K11" i="7"/>
  <c r="I11" i="7"/>
  <c r="G11" i="7"/>
  <c r="K10" i="7"/>
  <c r="I10" i="7"/>
  <c r="G10" i="7"/>
  <c r="K9" i="7"/>
  <c r="I9" i="7"/>
  <c r="G9" i="7"/>
  <c r="K8" i="7"/>
  <c r="I8" i="7"/>
  <c r="G8" i="7"/>
  <c r="K7" i="7"/>
  <c r="I7" i="7"/>
  <c r="G7" i="7"/>
  <c r="K6" i="7"/>
  <c r="I6" i="7"/>
  <c r="G6" i="7"/>
  <c r="G17" i="6" l="1"/>
  <c r="F16" i="6"/>
  <c r="G16" i="6" s="1"/>
  <c r="I16" i="6" s="1"/>
  <c r="K16" i="6" s="1"/>
  <c r="F15" i="6"/>
  <c r="G15" i="6" s="1"/>
  <c r="I15" i="6" s="1"/>
  <c r="K15" i="6" s="1"/>
  <c r="F14" i="6"/>
  <c r="G14" i="6" s="1"/>
  <c r="I14" i="6" s="1"/>
  <c r="K14" i="6" s="1"/>
  <c r="G12" i="6"/>
  <c r="G11" i="6"/>
  <c r="G10" i="6"/>
  <c r="I10" i="6" s="1"/>
  <c r="K10" i="6" s="1"/>
  <c r="G9" i="6"/>
  <c r="I9" i="6" s="1"/>
  <c r="K9" i="6" s="1"/>
  <c r="G8" i="6"/>
  <c r="I8" i="6" s="1"/>
  <c r="K8" i="6" s="1"/>
  <c r="G7" i="6"/>
  <c r="I7" i="6" s="1"/>
  <c r="K7" i="6" s="1"/>
  <c r="G6" i="6"/>
  <c r="F16" i="1" l="1"/>
  <c r="F15" i="1"/>
  <c r="F14" i="1"/>
  <c r="K19" i="5" l="1"/>
  <c r="K18" i="5"/>
  <c r="K17" i="5"/>
  <c r="K16" i="5"/>
  <c r="K15" i="5"/>
  <c r="K14" i="5"/>
  <c r="K12" i="5"/>
  <c r="K11" i="5"/>
  <c r="K6" i="5"/>
  <c r="H19" i="5" l="1"/>
  <c r="H18" i="5"/>
  <c r="H17" i="5"/>
  <c r="H16" i="5"/>
  <c r="H15" i="5"/>
  <c r="H14" i="5"/>
  <c r="H12" i="5"/>
  <c r="H11" i="5"/>
  <c r="H6" i="5"/>
  <c r="E17" i="5" l="1"/>
  <c r="E6" i="5"/>
  <c r="E16" i="5"/>
  <c r="F16" i="5" s="1"/>
  <c r="E15" i="5"/>
  <c r="E19" i="5"/>
  <c r="E18" i="5"/>
  <c r="E14" i="5"/>
  <c r="F14" i="5" s="1"/>
  <c r="E11" i="5"/>
  <c r="F11" i="5" s="1"/>
  <c r="E12" i="5"/>
  <c r="L19" i="5"/>
  <c r="I19" i="5"/>
  <c r="F19" i="5"/>
  <c r="L18" i="5"/>
  <c r="I18" i="5"/>
  <c r="F18" i="5"/>
  <c r="L17" i="5"/>
  <c r="I17" i="5"/>
  <c r="F17" i="5"/>
  <c r="L16" i="5"/>
  <c r="I16" i="5"/>
  <c r="L15" i="5"/>
  <c r="I15" i="5"/>
  <c r="F15" i="5"/>
  <c r="L14" i="5"/>
  <c r="I14" i="5"/>
  <c r="L12" i="5"/>
  <c r="I12" i="5"/>
  <c r="F12" i="5"/>
  <c r="L11" i="5"/>
  <c r="I11" i="5"/>
  <c r="L6" i="5"/>
  <c r="I6" i="5"/>
  <c r="F6" i="5"/>
  <c r="K19" i="3"/>
  <c r="L19" i="3" s="1"/>
  <c r="K18" i="3"/>
  <c r="L18" i="3" s="1"/>
  <c r="K14" i="3"/>
  <c r="L14" i="3" s="1"/>
  <c r="K11" i="3"/>
  <c r="L11" i="3" s="1"/>
  <c r="K12" i="3"/>
  <c r="K17" i="3"/>
  <c r="L17" i="3" s="1"/>
  <c r="K6" i="3"/>
  <c r="L6" i="3"/>
  <c r="K16" i="3"/>
  <c r="L16" i="3" s="1"/>
  <c r="K15" i="3"/>
  <c r="L15" i="3" s="1"/>
  <c r="L12" i="3"/>
  <c r="H19" i="3"/>
  <c r="I19" i="3" s="1"/>
  <c r="H18" i="3"/>
  <c r="I18" i="3" s="1"/>
  <c r="H14" i="3"/>
  <c r="I14" i="3" s="1"/>
  <c r="H11" i="3"/>
  <c r="I11" i="3" s="1"/>
  <c r="H12" i="3"/>
  <c r="I12" i="3" s="1"/>
  <c r="K11" i="1"/>
  <c r="H6" i="3"/>
  <c r="I6" i="3" s="1"/>
  <c r="H17" i="3"/>
  <c r="I17" i="3" s="1"/>
  <c r="H16" i="3"/>
  <c r="I16" i="3" s="1"/>
  <c r="H15" i="3"/>
  <c r="I15" i="3" s="1"/>
  <c r="E14" i="3"/>
  <c r="F14" i="3" s="1"/>
  <c r="E19" i="3"/>
  <c r="F19" i="3" s="1"/>
  <c r="E18" i="3"/>
  <c r="F18" i="3" s="1"/>
  <c r="E11" i="3"/>
  <c r="F11" i="3" s="1"/>
  <c r="E12" i="3"/>
  <c r="F12" i="3" s="1"/>
  <c r="E17" i="3"/>
  <c r="F17" i="3" s="1"/>
  <c r="E6" i="3"/>
  <c r="F6" i="3" s="1"/>
  <c r="E16" i="3"/>
  <c r="F16" i="3" s="1"/>
  <c r="E15" i="3"/>
  <c r="F15" i="3" s="1"/>
  <c r="K16" i="1"/>
  <c r="G16" i="1"/>
  <c r="K12" i="1"/>
  <c r="K14" i="1"/>
  <c r="I14" i="1"/>
  <c r="G14" i="1"/>
  <c r="K17" i="1"/>
  <c r="K6" i="1"/>
  <c r="I11" i="1"/>
  <c r="I12" i="1"/>
  <c r="I17" i="1"/>
  <c r="I6" i="1"/>
  <c r="K15" i="1"/>
  <c r="K13" i="1"/>
  <c r="I16" i="1"/>
  <c r="I13" i="1"/>
  <c r="I10" i="1"/>
  <c r="I9" i="1"/>
  <c r="I8" i="1"/>
  <c r="I7" i="1"/>
  <c r="I15" i="1"/>
  <c r="K10" i="1"/>
  <c r="K9" i="1"/>
  <c r="K8" i="1"/>
  <c r="K7" i="1"/>
  <c r="G6" i="1"/>
  <c r="G15" i="1"/>
  <c r="G10" i="1"/>
  <c r="G9" i="1"/>
  <c r="G8" i="1"/>
  <c r="G7" i="1"/>
  <c r="G17" i="1"/>
  <c r="G12" i="1"/>
  <c r="G11" i="1"/>
</calcChain>
</file>

<file path=xl/sharedStrings.xml><?xml version="1.0" encoding="utf-8"?>
<sst xmlns="http://schemas.openxmlformats.org/spreadsheetml/2006/main" count="495" uniqueCount="94">
  <si>
    <t>1</t>
  </si>
  <si>
    <t>КТП-1058</t>
  </si>
  <si>
    <t>2</t>
  </si>
  <si>
    <t>ТП-1336</t>
  </si>
  <si>
    <t>3</t>
  </si>
  <si>
    <t xml:space="preserve">КТП-2 </t>
  </si>
  <si>
    <t>4</t>
  </si>
  <si>
    <t>КТП-1</t>
  </si>
  <si>
    <t>5</t>
  </si>
  <si>
    <t>КТП-1А</t>
  </si>
  <si>
    <t>6</t>
  </si>
  <si>
    <t>ТП-2032</t>
  </si>
  <si>
    <t>7</t>
  </si>
  <si>
    <t>ТП-1548</t>
  </si>
  <si>
    <t>8</t>
  </si>
  <si>
    <t>ТП-1548А</t>
  </si>
  <si>
    <t>9</t>
  </si>
  <si>
    <t>ТП-1062</t>
  </si>
  <si>
    <t>10</t>
  </si>
  <si>
    <t>12</t>
  </si>
  <si>
    <t>ТП-1192</t>
  </si>
  <si>
    <t>ТП-0135</t>
  </si>
  <si>
    <t>14</t>
  </si>
  <si>
    <t>ТП-1987</t>
  </si>
  <si>
    <t>№
п.п</t>
  </si>
  <si>
    <t>Объект</t>
  </si>
  <si>
    <t>Установленная мощность, кВА</t>
  </si>
  <si>
    <t>Максимальная мощность, кВт</t>
  </si>
  <si>
    <t>Фактически использованная мощность, кВт</t>
  </si>
  <si>
    <t>Резерв максимальной мощности, кВт</t>
  </si>
  <si>
    <t>СПРАВКА</t>
  </si>
  <si>
    <t>2х320</t>
  </si>
  <si>
    <t>2х400</t>
  </si>
  <si>
    <t>2х630</t>
  </si>
  <si>
    <t>Наличие возможности ТП</t>
  </si>
  <si>
    <t>ТП-1174, ТП-1174-1</t>
  </si>
  <si>
    <t>2х630, 2х400</t>
  </si>
  <si>
    <t>только после реконструкции ТП</t>
  </si>
  <si>
    <t>Резерв мощности для ТП, кВт</t>
  </si>
  <si>
    <t>апрель</t>
  </si>
  <si>
    <t>июнь</t>
  </si>
  <si>
    <t>май</t>
  </si>
  <si>
    <t>15</t>
  </si>
  <si>
    <t>январь</t>
  </si>
  <si>
    <t>февраль</t>
  </si>
  <si>
    <t>март</t>
  </si>
  <si>
    <t>июль</t>
  </si>
  <si>
    <t>август</t>
  </si>
  <si>
    <t>сентябрь</t>
  </si>
  <si>
    <t>ТП-1130</t>
  </si>
  <si>
    <t>1*1000,2х320</t>
  </si>
  <si>
    <t>о величине свободной (резервируемой) мощности по подстанциям ООО "ДСК" в 4-м кв. 2016 г</t>
  </si>
  <si>
    <t>о величине свободной (резервируемой) мощности по подстанциям ООО "ДСК" в 3-м кв. 2016 г</t>
  </si>
  <si>
    <t>октябрь</t>
  </si>
  <si>
    <t>ноябрь</t>
  </si>
  <si>
    <t>декабрь</t>
  </si>
  <si>
    <t>Уровень напряжения, кВ</t>
  </si>
  <si>
    <t>о величине свободной (резервируемой) мощности по подстанциям ООО "ДСК" в 3 кв. 2017 г</t>
  </si>
  <si>
    <t>о величине свободной (резервируемой) мощности по подстанциям ООО "ДСК" в 1 кв. 2019 г</t>
  </si>
  <si>
    <t>о величине свободной (резервируемой) мощности по подстанциям ООО "ДСК" в 2 кв. 2019 г</t>
  </si>
  <si>
    <t>ТП-2032, ТП-2032А</t>
  </si>
  <si>
    <t>4х630</t>
  </si>
  <si>
    <t>о величине свободной (резервируемой) мощности по подстанциям ООО "ДСК" в 3 кв. 2019 г</t>
  </si>
  <si>
    <t>о величине свободной (резервируемой) мощности по подстанциям ООО "ДСК" в 4 кв. 2019 г</t>
  </si>
  <si>
    <t>1 квартал</t>
  </si>
  <si>
    <t>2 квартал</t>
  </si>
  <si>
    <t>Апрель</t>
  </si>
  <si>
    <t>Май</t>
  </si>
  <si>
    <t>Июнь</t>
  </si>
  <si>
    <t>3 квартал</t>
  </si>
  <si>
    <t>Июль</t>
  </si>
  <si>
    <t>Август</t>
  </si>
  <si>
    <t>Сентябрь</t>
  </si>
  <si>
    <t>4 квартал</t>
  </si>
  <si>
    <t>Октябрь</t>
  </si>
  <si>
    <t>Ноябрь</t>
  </si>
  <si>
    <t>Декабрь</t>
  </si>
  <si>
    <r>
      <t>ТП1</t>
    </r>
    <r>
      <rPr>
        <sz val="12"/>
        <rFont val="Calibri"/>
        <family val="2"/>
        <charset val="204"/>
      </rPr>
      <t>÷</t>
    </r>
    <r>
      <rPr>
        <sz val="9.6"/>
        <rFont val="Times New Roman"/>
        <family val="1"/>
        <charset val="204"/>
      </rPr>
      <t>1 МКР Прибрежный</t>
    </r>
  </si>
  <si>
    <t>6х630</t>
  </si>
  <si>
    <t>ТП-1 Красный Дон</t>
  </si>
  <si>
    <t>1х1000</t>
  </si>
  <si>
    <t>2х630, 2х401</t>
  </si>
  <si>
    <t>о величине свободной (резервируемой) мощности по подстанциям ООО "ДСК" в 2021 году</t>
  </si>
  <si>
    <t>Ростовский порт</t>
  </si>
  <si>
    <t>Красный Дон</t>
  </si>
  <si>
    <t>ДЦ фабрика</t>
  </si>
  <si>
    <t>СН1</t>
  </si>
  <si>
    <t>СН2</t>
  </si>
  <si>
    <t>Итого</t>
  </si>
  <si>
    <t>1 квар.</t>
  </si>
  <si>
    <t>2 квар.</t>
  </si>
  <si>
    <t>3 квар.</t>
  </si>
  <si>
    <t>4 квар.</t>
  </si>
  <si>
    <t>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 ООО «ДСК»  не имеет заключенных договоров на оказание услуг по передаче электрической энергии (мощности) напрямую с потребителями электрической энергии, максимальная мощность энергопринимающих устройств которых в границах балансовой принадлежности составляет не менее 670 кВт, не рассчитывает величину резервируемой максимальной мощности, счета на оплату потребителям электрической энергии (мощности) не выставляет, действующие котловые (единые) тарифы для потребителей не применяет.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</si>
</sst>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1]_-;\-* #,##0.00[$€-1]_-;_-* &quot;-&quot;??[$€-1]_-"/>
    <numFmt numFmtId="166" formatCode="#,##0.0000"/>
    <numFmt numFmtId="167" formatCode="#,##0.0"/>
    <numFmt numFmtId="168" formatCode="#,##0.000"/>
  </numFmts>
  <fonts count="28">
    <font>
      <sz val="11"/>
      <color theme="1"/>
      <name val="Calibri"/>
      <family val="2"/>
      <charset val="204"/>
      <scheme val="minor"/>
    </font>
    <font>
      <sz val="12"/>
      <color theme="1"/>
      <name val="Times New Roman"/>
      <family val="1"/>
      <charset val="204"/>
    </font>
    <font>
      <sz val="12"/>
      <name val="Times New Roman"/>
      <family val="1"/>
      <charset val="204"/>
    </font>
    <font>
      <sz val="8"/>
      <name val="Calibri"/>
      <family val="2"/>
      <charset val="204"/>
      <scheme val="minor"/>
    </font>
    <font>
      <sz val="12"/>
      <name val="Calibri"/>
      <family val="2"/>
      <charset val="204"/>
    </font>
    <font>
      <sz val="9.6"/>
      <name val="Times New Roman"/>
      <family val="1"/>
      <charset val="204"/>
    </font>
    <font>
      <sz val="11"/>
      <color theme="1"/>
      <name val="Calibri"/>
      <family val="2"/>
      <charset val="204"/>
      <scheme val="minor"/>
    </font>
    <font>
      <sz val="9"/>
      <name val="Tahoma"/>
      <family val="2"/>
      <charset val="204"/>
    </font>
    <font>
      <b/>
      <sz val="9"/>
      <name val="Tahoma"/>
      <family val="2"/>
      <charset val="204"/>
    </font>
    <font>
      <sz val="8"/>
      <name val="Arial"/>
      <family val="2"/>
      <charset val="204"/>
    </font>
    <font>
      <sz val="11"/>
      <color indexed="62"/>
      <name val="Calibri"/>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9"/>
      <color rgb="FF333399"/>
      <name val="Tahoma"/>
      <family val="2"/>
      <charset val="204"/>
    </font>
    <font>
      <sz val="10"/>
      <name val="Arial"/>
      <family val="2"/>
      <charset val="204"/>
    </font>
    <font>
      <sz val="11"/>
      <name val="Calibri"/>
      <family val="2"/>
      <charset val="204"/>
      <scheme val="minor"/>
    </font>
  </fonts>
  <fills count="1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s>
  <cellStyleXfs count="45">
    <xf numFmtId="0" fontId="0" fillId="0" borderId="0"/>
    <xf numFmtId="0" fontId="7" fillId="0" borderId="0">
      <alignment horizontal="left" vertical="center"/>
    </xf>
    <xf numFmtId="0" fontId="12" fillId="0" borderId="0"/>
    <xf numFmtId="165" fontId="12" fillId="0" borderId="0"/>
    <xf numFmtId="0" fontId="13" fillId="0" borderId="0"/>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21" fillId="0" borderId="12" applyNumberFormat="0" applyAlignment="0">
      <protection locked="0"/>
    </xf>
    <xf numFmtId="164" fontId="14" fillId="0" borderId="0" applyFont="0" applyFill="0" applyBorder="0" applyAlignment="0" applyProtection="0"/>
    <xf numFmtId="167" fontId="7" fillId="10" borderId="0">
      <protection locked="0"/>
    </xf>
    <xf numFmtId="0" fontId="15" fillId="0" borderId="0" applyFill="0" applyBorder="0" applyProtection="0">
      <alignment vertical="center"/>
    </xf>
    <xf numFmtId="168" fontId="7" fillId="10" borderId="0">
      <protection locked="0"/>
    </xf>
    <xf numFmtId="166" fontId="7" fillId="10" borderId="0">
      <protection locked="0"/>
    </xf>
    <xf numFmtId="0" fontId="16" fillId="0" borderId="0" applyNumberFormat="0" applyFill="0" applyBorder="0" applyAlignment="0" applyProtection="0">
      <alignment vertical="top"/>
      <protection locked="0"/>
    </xf>
    <xf numFmtId="0" fontId="21" fillId="11" borderId="12" applyNumberFormat="0" applyAlignment="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xf numFmtId="0" fontId="15" fillId="0" borderId="0" applyFill="0" applyBorder="0" applyProtection="0">
      <alignment vertical="center"/>
    </xf>
    <xf numFmtId="0" fontId="15" fillId="0" borderId="0" applyFill="0" applyBorder="0" applyProtection="0">
      <alignment vertical="center"/>
    </xf>
    <xf numFmtId="49" fontId="24" fillId="12" borderId="13" applyNumberFormat="0">
      <alignment horizontal="center" vertical="center"/>
    </xf>
    <xf numFmtId="0" fontId="10" fillId="13" borderId="1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0" fillId="0" borderId="0" applyBorder="0">
      <alignment horizontal="center" vertical="center" wrapText="1"/>
    </xf>
    <xf numFmtId="0" fontId="8" fillId="0" borderId="14" applyBorder="0">
      <alignment horizontal="center" vertical="center" wrapText="1"/>
    </xf>
    <xf numFmtId="49" fontId="7" fillId="0" borderId="0" applyBorder="0">
      <alignment vertical="top"/>
    </xf>
    <xf numFmtId="0" fontId="6" fillId="0" borderId="0"/>
    <xf numFmtId="0" fontId="6" fillId="0" borderId="0"/>
    <xf numFmtId="0" fontId="7" fillId="0" borderId="0">
      <alignment horizontal="left" vertical="center"/>
    </xf>
    <xf numFmtId="0" fontId="22" fillId="14" borderId="0" applyNumberFormat="0" applyBorder="0" applyAlignment="0">
      <alignment horizontal="left" vertical="center"/>
    </xf>
    <xf numFmtId="49" fontId="7" fillId="14" borderId="0" applyBorder="0">
      <alignment vertical="top"/>
    </xf>
    <xf numFmtId="0" fontId="26" fillId="0" borderId="0"/>
  </cellStyleXfs>
  <cellXfs count="105">
    <xf numFmtId="0" fontId="0" fillId="0" borderId="0" xfId="0"/>
    <xf numFmtId="0" fontId="1" fillId="0" borderId="0" xfId="0" applyFont="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Border="1" applyAlignment="1">
      <alignment horizontal="center" wrapText="1"/>
    </xf>
    <xf numFmtId="0" fontId="2" fillId="0" borderId="1" xfId="0" applyFont="1" applyBorder="1" applyAlignment="1">
      <alignment vertical="center" wrapText="1"/>
    </xf>
    <xf numFmtId="1"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9" borderId="0" xfId="0" applyFont="1" applyFill="1" applyBorder="1" applyAlignment="1">
      <alignment vertical="center" wrapText="1"/>
    </xf>
    <xf numFmtId="0" fontId="1" fillId="5" borderId="10" xfId="0" applyFont="1" applyFill="1" applyBorder="1" applyAlignment="1">
      <alignment vertical="center" wrapText="1"/>
    </xf>
    <xf numFmtId="0" fontId="1" fillId="5" borderId="0"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wrapText="1"/>
    </xf>
    <xf numFmtId="1" fontId="1" fillId="0" borderId="1" xfId="0" applyNumberFormat="1" applyFont="1" applyBorder="1" applyAlignment="1">
      <alignment wrapText="1"/>
    </xf>
    <xf numFmtId="1" fontId="1" fillId="0" borderId="1" xfId="0" applyNumberFormat="1" applyFont="1" applyBorder="1" applyAlignment="1">
      <alignment horizontal="center" wrapText="1"/>
    </xf>
    <xf numFmtId="1" fontId="2" fillId="5" borderId="5" xfId="0" applyNumberFormat="1" applyFont="1" applyFill="1" applyBorder="1" applyAlignment="1">
      <alignment horizontal="center" vertical="center" wrapText="1"/>
    </xf>
    <xf numFmtId="1" fontId="1" fillId="5" borderId="5" xfId="0" applyNumberFormat="1" applyFont="1" applyFill="1" applyBorder="1" applyAlignment="1">
      <alignment horizontal="center" vertical="center" wrapText="1"/>
    </xf>
    <xf numFmtId="1" fontId="1" fillId="0" borderId="5" xfId="0" applyNumberFormat="1" applyFont="1" applyBorder="1" applyAlignment="1">
      <alignment horizontal="center" wrapText="1"/>
    </xf>
    <xf numFmtId="0" fontId="1" fillId="0" borderId="5" xfId="0" applyFont="1" applyBorder="1" applyAlignment="1">
      <alignment horizontal="center" wrapText="1"/>
    </xf>
    <xf numFmtId="0" fontId="1" fillId="9"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 fontId="1" fillId="5" borderId="2"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0" xfId="0" applyFont="1" applyAlignment="1">
      <alignment horizontal="center" wrapText="1"/>
    </xf>
    <xf numFmtId="1" fontId="1" fillId="5"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1" fontId="2" fillId="5" borderId="2"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1" fontId="2" fillId="6" borderId="2"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1" fontId="1" fillId="6" borderId="2" xfId="0" applyNumberFormat="1" applyFont="1" applyFill="1" applyBorder="1" applyAlignment="1">
      <alignment horizontal="center" vertical="center" wrapText="1"/>
    </xf>
    <xf numFmtId="1" fontId="1" fillId="6" borderId="4" xfId="0" applyNumberFormat="1" applyFont="1" applyFill="1" applyBorder="1" applyAlignment="1">
      <alignment horizontal="center" vertical="center" wrapText="1"/>
    </xf>
    <xf numFmtId="1" fontId="1" fillId="6" borderId="3" xfId="0" applyNumberFormat="1" applyFont="1" applyFill="1" applyBorder="1" applyAlignment="1">
      <alignment horizontal="center" vertical="center" wrapText="1"/>
    </xf>
    <xf numFmtId="1" fontId="2" fillId="6" borderId="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 fontId="2" fillId="5" borderId="11" xfId="0" applyNumberFormat="1"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1" fontId="1" fillId="5" borderId="11" xfId="0" applyNumberFormat="1"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1" fontId="1" fillId="5" borderId="10"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Alignment="1">
      <alignment vertical="center"/>
    </xf>
    <xf numFmtId="0" fontId="27" fillId="0" borderId="0" xfId="0" applyFont="1" applyAlignment="1">
      <alignment horizontal="center" vertical="center" wrapText="1"/>
    </xf>
  </cellXfs>
  <cellStyles count="45">
    <cellStyle name=" 1" xfId="2" xr:uid="{01F953F2-11E2-4553-BB74-A9710013163C}"/>
    <cellStyle name=" 1 2" xfId="3" xr:uid="{89F36E5C-4361-4D9E-92D1-AD709AA8A896}"/>
    <cellStyle name=" 1_Stage1" xfId="4" xr:uid="{E981CB8C-A664-4994-885A-363A985B9814}"/>
    <cellStyle name="_Model_RAB Мой_PR.PROG.WARM.NOTCOMBI.2012.2.16_v1.4(04.04.11) " xfId="5" xr:uid="{CE8681DE-C455-4C11-B350-5B06D7DFF604}"/>
    <cellStyle name="_Model_RAB Мой_Книга2_PR.PROG.WARM.NOTCOMBI.2012.2.16_v1.4(04.04.11) " xfId="6" xr:uid="{CFF3B368-81F3-4894-AF89-F5311D258569}"/>
    <cellStyle name="_Model_RAB_MRSK_svod_PR.PROG.WARM.NOTCOMBI.2012.2.16_v1.4(04.04.11) " xfId="7" xr:uid="{40F74447-5A09-479B-994F-5E4264565CFE}"/>
    <cellStyle name="_Model_RAB_MRSK_svod_Книга2_PR.PROG.WARM.NOTCOMBI.2012.2.16_v1.4(04.04.11) " xfId="8" xr:uid="{561765A3-6332-4550-901F-9097750B0057}"/>
    <cellStyle name="_МОДЕЛЬ_1 (2)_PR.PROG.WARM.NOTCOMBI.2012.2.16_v1.4(04.04.11) " xfId="9" xr:uid="{4086F09B-07AD-42D4-9507-EDB2D5B7F3C7}"/>
    <cellStyle name="_МОДЕЛЬ_1 (2)_Книга2_PR.PROG.WARM.NOTCOMBI.2012.2.16_v1.4(04.04.11) " xfId="10" xr:uid="{2740F221-B284-4246-91EA-1CBAA2734375}"/>
    <cellStyle name="_пр 5 тариф RAB_PR.PROG.WARM.NOTCOMBI.2012.2.16_v1.4(04.04.11) " xfId="11" xr:uid="{E166D8AA-487B-4B99-860A-994F8E725CBE}"/>
    <cellStyle name="_пр 5 тариф RAB_Книга2_PR.PROG.WARM.NOTCOMBI.2012.2.16_v1.4(04.04.11) " xfId="12" xr:uid="{0407C5B7-530C-44A6-AACE-51249B848B35}"/>
    <cellStyle name="_Расчет RAB_22072008_PR.PROG.WARM.NOTCOMBI.2012.2.16_v1.4(04.04.11) " xfId="13" xr:uid="{7F793749-B98A-4EC2-B881-4C32D7D22B3A}"/>
    <cellStyle name="_Расчет RAB_22072008_Книга2_PR.PROG.WARM.NOTCOMBI.2012.2.16_v1.4(04.04.11) " xfId="14" xr:uid="{33D38FFA-2853-4FB4-B62F-CA1385B6E901}"/>
    <cellStyle name="_Расчет RAB_Лен и МОЭСК_с 2010 года_14.04.2009_со сглаж_version 3.0_без ФСК_PR.PROG.WARM.NOTCOMBI.2012.2.16_v1.4(04.04.11) " xfId="15" xr:uid="{762A3C7C-863D-4660-9DF3-5ACB5EFCDBA3}"/>
    <cellStyle name="_Расчет RAB_Лен и МОЭСК_с 2010 года_14.04.2009_со сглаж_version 3.0_без ФСК_Книга2_PR.PROG.WARM.NOTCOMBI.2012.2.16_v1.4(04.04.11) " xfId="16" xr:uid="{22EB2309-C741-4CB1-AC46-2B477236E85D}"/>
    <cellStyle name="Cells 2" xfId="17" xr:uid="{6EE45798-B840-48EC-BA18-ED9ED6E96D1B}"/>
    <cellStyle name="Currency [0]" xfId="18" xr:uid="{9083A481-C971-45B4-A20B-9964BED3DE54}"/>
    <cellStyle name="currency1" xfId="19" xr:uid="{54917039-1EB0-404F-B4C9-0891FC1F5C28}"/>
    <cellStyle name="Currency2" xfId="20" xr:uid="{1F1CF293-D529-4F14-96FB-F5239302E33A}"/>
    <cellStyle name="currency3" xfId="21" xr:uid="{360BD964-E924-4657-84AD-9A299BAB8271}"/>
    <cellStyle name="currency4" xfId="22" xr:uid="{8E0291C1-B761-44CD-BE59-E7DCA4971D19}"/>
    <cellStyle name="Followed Hyperlink" xfId="23" xr:uid="{D871BDB7-ADB1-4929-81EA-C8E796515133}"/>
    <cellStyle name="Header 3" xfId="24" xr:uid="{C834489F-B5C2-4CDD-94E6-F204342EF2DE}"/>
    <cellStyle name="Hyperlink" xfId="25" xr:uid="{73D102BE-20A4-4BB6-A65E-0D373B686297}"/>
    <cellStyle name="normal" xfId="26" xr:uid="{4DBBDC07-E36C-4E31-B652-E60013F45A70}"/>
    <cellStyle name="Normal1" xfId="27" xr:uid="{DF041C04-E885-4579-A147-649DD15A2105}"/>
    <cellStyle name="Normal2" xfId="28" xr:uid="{F19F3163-7366-49E2-9B6C-692F604B3DAC}"/>
    <cellStyle name="Percent1" xfId="29" xr:uid="{DD163B9E-365B-4236-9A9A-EB1729BE7382}"/>
    <cellStyle name="Title 4" xfId="30" xr:uid="{8426E8CF-3B08-43C9-B3EA-31DF13DDF605}"/>
    <cellStyle name="Ввод  2" xfId="31" xr:uid="{FE61AC71-D151-4B3B-8C5C-ED427EC21144}"/>
    <cellStyle name="Гиперссылка" xfId="32" builtinId="8" customBuiltin="1"/>
    <cellStyle name="Гиперссылка 2 2 2" xfId="33" xr:uid="{74810CF8-7279-44B5-8F41-5A20DB6F2226}"/>
    <cellStyle name="Гиперссылка 4 6" xfId="34" xr:uid="{66905DC4-918E-40C9-AB55-8D131CDB3E8C}"/>
    <cellStyle name="Гиперссылка 5" xfId="35" xr:uid="{1BC2E2C7-F920-49A8-AEAC-8D1F43E7FAF0}"/>
    <cellStyle name="Заголовок" xfId="36" xr:uid="{E03FBD73-5FEB-486C-BAA1-5E2481374B3A}"/>
    <cellStyle name="ЗаголовокСтолбца" xfId="37" xr:uid="{FA9C659F-08ED-4F42-812D-9CD41BBE8AEF}"/>
    <cellStyle name="Обычный" xfId="0" builtinId="0"/>
    <cellStyle name="Обычный 10" xfId="38" xr:uid="{9D367152-0077-403A-BF92-990E8803CDB2}"/>
    <cellStyle name="Обычный 11" xfId="39" xr:uid="{4AF8CE16-DB9A-4562-AA25-97950B1E3D4D}"/>
    <cellStyle name="Обычный 12 3 2" xfId="40" xr:uid="{E19B89BB-5BBD-4BAE-9B0C-B41EB5631ECF}"/>
    <cellStyle name="Обычный 2" xfId="41" xr:uid="{CAF1AFCE-9C41-4D0C-91F7-5DD4A08B893F}"/>
    <cellStyle name="Обычный 2 14" xfId="42" xr:uid="{D3FE806F-66FC-4F70-9A42-A99A3E8083CB}"/>
    <cellStyle name="Обычный 3" xfId="44" xr:uid="{6E1CDB48-4501-4B5D-AD7E-6D24549D93A1}"/>
    <cellStyle name="Обычный 3 3 2" xfId="43" xr:uid="{340DAA4C-FA13-416A-8889-4553C4CE855F}"/>
    <cellStyle name="Обычный 4" xfId="1" xr:uid="{C786FBFD-6CFF-4450-ABC9-669A6422CA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7"/>
  <sheetViews>
    <sheetView view="pageBreakPreview" topLeftCell="B1" zoomScale="115" zoomScaleNormal="80" zoomScaleSheetLayoutView="115" workbookViewId="0">
      <selection activeCell="D19" sqref="D19"/>
    </sheetView>
  </sheetViews>
  <sheetFormatPr defaultRowHeight="15.75" outlineLevelRow="1"/>
  <cols>
    <col min="1" max="1" width="4.5703125" style="1" customWidth="1"/>
    <col min="2" max="2" width="12.140625" style="8"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8" t="s">
        <v>30</v>
      </c>
      <c r="B1" s="48"/>
      <c r="C1" s="48"/>
      <c r="D1" s="48"/>
      <c r="E1" s="48"/>
      <c r="F1" s="48"/>
      <c r="G1" s="48"/>
      <c r="H1" s="48"/>
      <c r="I1" s="48"/>
      <c r="J1" s="48"/>
      <c r="K1" s="48"/>
      <c r="L1" s="48"/>
    </row>
    <row r="2" spans="1:12" ht="15.75" customHeight="1">
      <c r="A2" s="48" t="s">
        <v>58</v>
      </c>
      <c r="B2" s="48"/>
      <c r="C2" s="48"/>
      <c r="D2" s="48"/>
      <c r="E2" s="48"/>
      <c r="F2" s="48"/>
      <c r="G2" s="48"/>
      <c r="H2" s="48"/>
      <c r="I2" s="48"/>
      <c r="J2" s="48"/>
      <c r="K2" s="48"/>
      <c r="L2" s="48"/>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43</v>
      </c>
      <c r="G5" s="51"/>
      <c r="H5" s="52" t="s">
        <v>44</v>
      </c>
      <c r="I5" s="53"/>
      <c r="J5" s="54" t="s">
        <v>45</v>
      </c>
      <c r="K5" s="55"/>
      <c r="L5" s="41"/>
    </row>
    <row r="6" spans="1:12">
      <c r="A6" s="3" t="s">
        <v>0</v>
      </c>
      <c r="B6" s="4" t="s">
        <v>1</v>
      </c>
      <c r="C6" s="2" t="s">
        <v>31</v>
      </c>
      <c r="D6" s="40">
        <v>6</v>
      </c>
      <c r="E6" s="46">
        <v>2470</v>
      </c>
      <c r="F6" s="43">
        <v>518</v>
      </c>
      <c r="G6" s="43">
        <f>E6-F6</f>
        <v>1952</v>
      </c>
      <c r="H6" s="56">
        <v>451</v>
      </c>
      <c r="I6" s="56">
        <f>$E6-H6</f>
        <v>2019</v>
      </c>
      <c r="J6" s="56">
        <v>626</v>
      </c>
      <c r="K6" s="56">
        <f>E6-J6</f>
        <v>1844</v>
      </c>
      <c r="L6" s="40"/>
    </row>
    <row r="7" spans="1:12">
      <c r="A7" s="3" t="s">
        <v>2</v>
      </c>
      <c r="B7" s="4" t="s">
        <v>3</v>
      </c>
      <c r="C7" s="2" t="s">
        <v>32</v>
      </c>
      <c r="D7" s="42"/>
      <c r="E7" s="47"/>
      <c r="F7" s="49"/>
      <c r="G7" s="47">
        <f t="shared" ref="G7:G10" si="0">E7-F7</f>
        <v>0</v>
      </c>
      <c r="H7" s="60"/>
      <c r="I7" s="57" t="e">
        <f>#REF!-H7</f>
        <v>#REF!</v>
      </c>
      <c r="J7" s="60"/>
      <c r="K7" s="57" t="e">
        <f>#REF!-J7</f>
        <v>#REF!</v>
      </c>
      <c r="L7" s="42"/>
    </row>
    <row r="8" spans="1:12">
      <c r="A8" s="3" t="s">
        <v>4</v>
      </c>
      <c r="B8" s="4" t="s">
        <v>5</v>
      </c>
      <c r="C8" s="2">
        <v>400</v>
      </c>
      <c r="D8" s="42"/>
      <c r="E8" s="47"/>
      <c r="F8" s="49"/>
      <c r="G8" s="47">
        <f t="shared" si="0"/>
        <v>0</v>
      </c>
      <c r="H8" s="60"/>
      <c r="I8" s="57" t="e">
        <f>#REF!-H8</f>
        <v>#REF!</v>
      </c>
      <c r="J8" s="60"/>
      <c r="K8" s="57" t="e">
        <f>#REF!-J8</f>
        <v>#REF!</v>
      </c>
      <c r="L8" s="42"/>
    </row>
    <row r="9" spans="1:12">
      <c r="A9" s="3" t="s">
        <v>6</v>
      </c>
      <c r="B9" s="4" t="s">
        <v>7</v>
      </c>
      <c r="C9" s="2">
        <v>400</v>
      </c>
      <c r="D9" s="42"/>
      <c r="E9" s="47"/>
      <c r="F9" s="49"/>
      <c r="G9" s="47">
        <f t="shared" si="0"/>
        <v>0</v>
      </c>
      <c r="H9" s="60"/>
      <c r="I9" s="57" t="e">
        <f>#REF!-H9</f>
        <v>#REF!</v>
      </c>
      <c r="J9" s="60"/>
      <c r="K9" s="57" t="e">
        <f>#REF!-J9</f>
        <v>#REF!</v>
      </c>
      <c r="L9" s="42"/>
    </row>
    <row r="10" spans="1:12">
      <c r="A10" s="3" t="s">
        <v>8</v>
      </c>
      <c r="B10" s="4" t="s">
        <v>9</v>
      </c>
      <c r="C10" s="2">
        <v>320</v>
      </c>
      <c r="D10" s="41"/>
      <c r="E10" s="45"/>
      <c r="F10" s="44"/>
      <c r="G10" s="45">
        <f t="shared" si="0"/>
        <v>0</v>
      </c>
      <c r="H10" s="59"/>
      <c r="I10" s="58" t="e">
        <f>#REF!-H10</f>
        <v>#REF!</v>
      </c>
      <c r="J10" s="59"/>
      <c r="K10" s="58" t="e">
        <f>#REF!-J10</f>
        <v>#REF!</v>
      </c>
      <c r="L10" s="41"/>
    </row>
    <row r="11" spans="1:12" ht="31.5">
      <c r="A11" s="3" t="s">
        <v>10</v>
      </c>
      <c r="B11" s="4" t="s">
        <v>60</v>
      </c>
      <c r="C11" s="2" t="s">
        <v>61</v>
      </c>
      <c r="D11" s="2">
        <v>6</v>
      </c>
      <c r="E11" s="9">
        <v>1500</v>
      </c>
      <c r="F11" s="10">
        <v>317</v>
      </c>
      <c r="G11" s="10">
        <f>E11-F11</f>
        <v>1183</v>
      </c>
      <c r="H11" s="12">
        <v>318</v>
      </c>
      <c r="I11" s="12">
        <f t="shared" ref="I11" si="1">$E11-H11</f>
        <v>1182</v>
      </c>
      <c r="J11" s="12">
        <v>360</v>
      </c>
      <c r="K11" s="12">
        <f>E11-J11</f>
        <v>1140</v>
      </c>
      <c r="L11" s="2"/>
    </row>
    <row r="12" spans="1:12">
      <c r="A12" s="3" t="s">
        <v>12</v>
      </c>
      <c r="B12" s="4" t="s">
        <v>13</v>
      </c>
      <c r="C12" s="2" t="s">
        <v>33</v>
      </c>
      <c r="D12" s="40">
        <v>10</v>
      </c>
      <c r="E12" s="46">
        <v>1512</v>
      </c>
      <c r="F12" s="43">
        <v>314</v>
      </c>
      <c r="G12" s="43">
        <f>E12-F12</f>
        <v>1198</v>
      </c>
      <c r="H12" s="56">
        <v>129</v>
      </c>
      <c r="I12" s="56">
        <f>E12-H12</f>
        <v>1383</v>
      </c>
      <c r="J12" s="56">
        <v>235</v>
      </c>
      <c r="K12" s="56">
        <f>E12-J12</f>
        <v>1277</v>
      </c>
      <c r="L12" s="40"/>
    </row>
    <row r="13" spans="1:12">
      <c r="A13" s="3" t="s">
        <v>14</v>
      </c>
      <c r="B13" s="4" t="s">
        <v>15</v>
      </c>
      <c r="C13" s="2" t="s">
        <v>33</v>
      </c>
      <c r="D13" s="41"/>
      <c r="E13" s="45"/>
      <c r="F13" s="44"/>
      <c r="G13" s="45"/>
      <c r="H13" s="59"/>
      <c r="I13" s="59" t="e">
        <f>#REF!-H13</f>
        <v>#REF!</v>
      </c>
      <c r="J13" s="59"/>
      <c r="K13" s="58" t="e">
        <f>#REF!-J13</f>
        <v>#REF!</v>
      </c>
      <c r="L13" s="41"/>
    </row>
    <row r="14" spans="1:12" ht="15.75" hidden="1" customHeight="1" outlineLevel="1">
      <c r="A14" s="3" t="s">
        <v>18</v>
      </c>
      <c r="B14" s="6" t="s">
        <v>17</v>
      </c>
      <c r="C14" s="2" t="s">
        <v>33</v>
      </c>
      <c r="D14" s="2">
        <v>6</v>
      </c>
      <c r="E14" s="9">
        <v>450</v>
      </c>
      <c r="F14" s="10">
        <f>172585/744*1.8</f>
        <v>417.54435483870969</v>
      </c>
      <c r="G14" s="10">
        <f t="shared" ref="G14:G17" si="2">E14-F14</f>
        <v>32.455645161290306</v>
      </c>
      <c r="H14" s="12"/>
      <c r="I14" s="12">
        <f>E14-H14</f>
        <v>450</v>
      </c>
      <c r="J14" s="12"/>
      <c r="K14" s="12">
        <f>E14-J14</f>
        <v>450</v>
      </c>
      <c r="L14" s="2"/>
    </row>
    <row r="15" spans="1:12" ht="15.75" hidden="1" customHeight="1" outlineLevel="1">
      <c r="A15" s="3" t="s">
        <v>19</v>
      </c>
      <c r="B15" s="6" t="s">
        <v>20</v>
      </c>
      <c r="C15" s="2">
        <v>400</v>
      </c>
      <c r="D15" s="2">
        <v>6</v>
      </c>
      <c r="E15" s="9">
        <v>250</v>
      </c>
      <c r="F15" s="10">
        <f>2458/744*2</f>
        <v>6.60752688172043</v>
      </c>
      <c r="G15" s="10">
        <f t="shared" si="2"/>
        <v>243.39247311827958</v>
      </c>
      <c r="H15" s="12"/>
      <c r="I15" s="12">
        <f>E15-H15</f>
        <v>250</v>
      </c>
      <c r="J15" s="12"/>
      <c r="K15" s="12">
        <f>E15-J15</f>
        <v>250</v>
      </c>
      <c r="L15" s="2"/>
    </row>
    <row r="16" spans="1:12" ht="15.75" hidden="1" customHeight="1" outlineLevel="1">
      <c r="A16" s="3" t="s">
        <v>22</v>
      </c>
      <c r="B16" s="6" t="s">
        <v>23</v>
      </c>
      <c r="C16" s="2">
        <v>630</v>
      </c>
      <c r="D16" s="2">
        <v>6</v>
      </c>
      <c r="E16" s="9">
        <v>500</v>
      </c>
      <c r="F16" s="10">
        <f>210891/744*1.7</f>
        <v>481.87459677419349</v>
      </c>
      <c r="G16" s="10">
        <f t="shared" si="2"/>
        <v>18.125403225806508</v>
      </c>
      <c r="H16" s="12"/>
      <c r="I16" s="12">
        <f>E16-H16</f>
        <v>500</v>
      </c>
      <c r="J16" s="12"/>
      <c r="K16" s="12">
        <f>E16-J16</f>
        <v>500</v>
      </c>
      <c r="L16" s="2"/>
    </row>
    <row r="17" spans="1:12" ht="31.5" collapsed="1">
      <c r="A17" s="3">
        <v>9</v>
      </c>
      <c r="B17" s="6" t="s">
        <v>35</v>
      </c>
      <c r="C17" s="2" t="s">
        <v>36</v>
      </c>
      <c r="D17" s="2">
        <v>6</v>
      </c>
      <c r="E17" s="9">
        <v>900</v>
      </c>
      <c r="F17" s="10">
        <v>47</v>
      </c>
      <c r="G17" s="10">
        <f t="shared" si="2"/>
        <v>853</v>
      </c>
      <c r="H17" s="12">
        <v>40</v>
      </c>
      <c r="I17" s="12">
        <f>E17-H17</f>
        <v>860</v>
      </c>
      <c r="J17" s="12">
        <v>39</v>
      </c>
      <c r="K17" s="12">
        <f>E17-J17</f>
        <v>861</v>
      </c>
      <c r="L17" s="2"/>
    </row>
  </sheetData>
  <mergeCells count="29">
    <mergeCell ref="K6:K10"/>
    <mergeCell ref="J12:J13"/>
    <mergeCell ref="K12:K13"/>
    <mergeCell ref="H6:H10"/>
    <mergeCell ref="I6:I10"/>
    <mergeCell ref="H12:H13"/>
    <mergeCell ref="I12:I13"/>
    <mergeCell ref="J6:J10"/>
    <mergeCell ref="L12:L13"/>
    <mergeCell ref="E12:E13"/>
    <mergeCell ref="E6:E10"/>
    <mergeCell ref="A1:L1"/>
    <mergeCell ref="A2:L2"/>
    <mergeCell ref="F6:F10"/>
    <mergeCell ref="G6:G10"/>
    <mergeCell ref="L6:L10"/>
    <mergeCell ref="F5:G5"/>
    <mergeCell ref="E4:E5"/>
    <mergeCell ref="C4:C5"/>
    <mergeCell ref="B4:B5"/>
    <mergeCell ref="A4:A5"/>
    <mergeCell ref="L4:L5"/>
    <mergeCell ref="H5:I5"/>
    <mergeCell ref="J5:K5"/>
    <mergeCell ref="D4:D5"/>
    <mergeCell ref="D6:D10"/>
    <mergeCell ref="D12:D13"/>
    <mergeCell ref="F12:F13"/>
    <mergeCell ref="G12:G13"/>
  </mergeCells>
  <pageMargins left="0.31496062992125984" right="0.31496062992125984" top="0.74803149606299213" bottom="0.35433070866141736"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L17"/>
  <sheetViews>
    <sheetView view="pageBreakPreview" zoomScaleNormal="80" zoomScaleSheetLayoutView="100" workbookViewId="0">
      <selection activeCell="H28" sqref="H28"/>
    </sheetView>
  </sheetViews>
  <sheetFormatPr defaultRowHeight="15.75" outlineLevelRow="1"/>
  <cols>
    <col min="1" max="1" width="4.5703125" style="1" customWidth="1"/>
    <col min="2" max="2" width="12.140625" style="8"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8" t="s">
        <v>30</v>
      </c>
      <c r="B1" s="48"/>
      <c r="C1" s="48"/>
      <c r="D1" s="48"/>
      <c r="E1" s="48"/>
      <c r="F1" s="48"/>
      <c r="G1" s="48"/>
      <c r="H1" s="48"/>
      <c r="I1" s="48"/>
      <c r="J1" s="48"/>
      <c r="K1" s="48"/>
      <c r="L1" s="48"/>
    </row>
    <row r="2" spans="1:12" ht="15.75" customHeight="1">
      <c r="A2" s="48" t="s">
        <v>59</v>
      </c>
      <c r="B2" s="48"/>
      <c r="C2" s="48"/>
      <c r="D2" s="48"/>
      <c r="E2" s="48"/>
      <c r="F2" s="48"/>
      <c r="G2" s="48"/>
      <c r="H2" s="48"/>
      <c r="I2" s="48"/>
      <c r="J2" s="48"/>
      <c r="K2" s="48"/>
      <c r="L2" s="48"/>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39</v>
      </c>
      <c r="G5" s="51"/>
      <c r="H5" s="52" t="s">
        <v>41</v>
      </c>
      <c r="I5" s="53"/>
      <c r="J5" s="54" t="s">
        <v>40</v>
      </c>
      <c r="K5" s="55"/>
      <c r="L5" s="41"/>
    </row>
    <row r="6" spans="1:12">
      <c r="A6" s="3" t="s">
        <v>0</v>
      </c>
      <c r="B6" s="4" t="s">
        <v>1</v>
      </c>
      <c r="C6" s="2" t="s">
        <v>31</v>
      </c>
      <c r="D6" s="40">
        <v>6</v>
      </c>
      <c r="E6" s="46">
        <v>2470</v>
      </c>
      <c r="F6" s="43">
        <v>499</v>
      </c>
      <c r="G6" s="43">
        <f>E6-F6</f>
        <v>1971</v>
      </c>
      <c r="H6" s="43">
        <v>390</v>
      </c>
      <c r="I6" s="43">
        <f>E6-H6</f>
        <v>2080</v>
      </c>
      <c r="J6" s="43">
        <v>581</v>
      </c>
      <c r="K6" s="43">
        <f>E6-J6</f>
        <v>1889</v>
      </c>
      <c r="L6" s="40"/>
    </row>
    <row r="7" spans="1:12">
      <c r="A7" s="3" t="s">
        <v>2</v>
      </c>
      <c r="B7" s="4" t="s">
        <v>3</v>
      </c>
      <c r="C7" s="2" t="s">
        <v>32</v>
      </c>
      <c r="D7" s="42"/>
      <c r="E7" s="47"/>
      <c r="F7" s="49"/>
      <c r="G7" s="47">
        <f t="shared" ref="G7:G10" si="0">E7-F7</f>
        <v>0</v>
      </c>
      <c r="H7" s="49"/>
      <c r="I7" s="47">
        <f t="shared" ref="I7:I10" si="1">G7-H7</f>
        <v>0</v>
      </c>
      <c r="J7" s="49"/>
      <c r="K7" s="47">
        <f t="shared" ref="K7:K10" si="2">I7-J7</f>
        <v>0</v>
      </c>
      <c r="L7" s="42"/>
    </row>
    <row r="8" spans="1:12">
      <c r="A8" s="3" t="s">
        <v>4</v>
      </c>
      <c r="B8" s="4" t="s">
        <v>5</v>
      </c>
      <c r="C8" s="2">
        <v>400</v>
      </c>
      <c r="D8" s="42"/>
      <c r="E8" s="47"/>
      <c r="F8" s="49"/>
      <c r="G8" s="47">
        <f t="shared" si="0"/>
        <v>0</v>
      </c>
      <c r="H8" s="49"/>
      <c r="I8" s="47">
        <f t="shared" si="1"/>
        <v>0</v>
      </c>
      <c r="J8" s="49"/>
      <c r="K8" s="47">
        <f t="shared" si="2"/>
        <v>0</v>
      </c>
      <c r="L8" s="42"/>
    </row>
    <row r="9" spans="1:12">
      <c r="A9" s="3" t="s">
        <v>6</v>
      </c>
      <c r="B9" s="4" t="s">
        <v>7</v>
      </c>
      <c r="C9" s="2">
        <v>400</v>
      </c>
      <c r="D9" s="42"/>
      <c r="E9" s="47"/>
      <c r="F9" s="49"/>
      <c r="G9" s="47">
        <f t="shared" si="0"/>
        <v>0</v>
      </c>
      <c r="H9" s="49"/>
      <c r="I9" s="47">
        <f t="shared" si="1"/>
        <v>0</v>
      </c>
      <c r="J9" s="49"/>
      <c r="K9" s="47">
        <f t="shared" si="2"/>
        <v>0</v>
      </c>
      <c r="L9" s="42"/>
    </row>
    <row r="10" spans="1:12">
      <c r="A10" s="3" t="s">
        <v>8</v>
      </c>
      <c r="B10" s="4" t="s">
        <v>9</v>
      </c>
      <c r="C10" s="2">
        <v>320</v>
      </c>
      <c r="D10" s="41"/>
      <c r="E10" s="45"/>
      <c r="F10" s="44"/>
      <c r="G10" s="45">
        <f t="shared" si="0"/>
        <v>0</v>
      </c>
      <c r="H10" s="44"/>
      <c r="I10" s="45">
        <f t="shared" si="1"/>
        <v>0</v>
      </c>
      <c r="J10" s="44"/>
      <c r="K10" s="45">
        <f t="shared" si="2"/>
        <v>0</v>
      </c>
      <c r="L10" s="41"/>
    </row>
    <row r="11" spans="1:12" ht="31.5">
      <c r="A11" s="3" t="s">
        <v>10</v>
      </c>
      <c r="B11" s="4" t="s">
        <v>60</v>
      </c>
      <c r="C11" s="2" t="s">
        <v>61</v>
      </c>
      <c r="D11" s="2">
        <v>6</v>
      </c>
      <c r="E11" s="9">
        <v>1500</v>
      </c>
      <c r="F11" s="10">
        <v>236</v>
      </c>
      <c r="G11" s="10">
        <f>E11-F11</f>
        <v>1264</v>
      </c>
      <c r="H11" s="10">
        <v>232</v>
      </c>
      <c r="I11" s="10">
        <f>E11-H11</f>
        <v>1268</v>
      </c>
      <c r="J11" s="10">
        <v>148</v>
      </c>
      <c r="K11" s="10">
        <f>E11-J11</f>
        <v>1352</v>
      </c>
      <c r="L11" s="2"/>
    </row>
    <row r="12" spans="1:12">
      <c r="A12" s="3" t="s">
        <v>12</v>
      </c>
      <c r="B12" s="4" t="s">
        <v>13</v>
      </c>
      <c r="C12" s="2" t="s">
        <v>33</v>
      </c>
      <c r="D12" s="40">
        <v>10</v>
      </c>
      <c r="E12" s="46">
        <v>1512</v>
      </c>
      <c r="F12" s="43">
        <v>163</v>
      </c>
      <c r="G12" s="43">
        <f>E12-F12</f>
        <v>1349</v>
      </c>
      <c r="H12" s="43">
        <v>130</v>
      </c>
      <c r="I12" s="43">
        <f>E12-H12</f>
        <v>1382</v>
      </c>
      <c r="J12" s="43">
        <v>141</v>
      </c>
      <c r="K12" s="43">
        <f>E12-J12</f>
        <v>1371</v>
      </c>
      <c r="L12" s="40"/>
    </row>
    <row r="13" spans="1:12">
      <c r="A13" s="3" t="s">
        <v>14</v>
      </c>
      <c r="B13" s="4" t="s">
        <v>15</v>
      </c>
      <c r="C13" s="2" t="s">
        <v>33</v>
      </c>
      <c r="D13" s="41"/>
      <c r="E13" s="45"/>
      <c r="F13" s="44"/>
      <c r="G13" s="45"/>
      <c r="H13" s="44"/>
      <c r="I13" s="45"/>
      <c r="J13" s="44"/>
      <c r="K13" s="45"/>
      <c r="L13" s="41"/>
    </row>
    <row r="14" spans="1:12" ht="15.75" hidden="1" customHeight="1" outlineLevel="1">
      <c r="A14" s="3" t="s">
        <v>18</v>
      </c>
      <c r="B14" s="6" t="s">
        <v>17</v>
      </c>
      <c r="C14" s="2" t="s">
        <v>33</v>
      </c>
      <c r="D14" s="2">
        <v>6</v>
      </c>
      <c r="E14" s="9">
        <v>450</v>
      </c>
      <c r="F14" s="11">
        <f>172585/744*1.8</f>
        <v>417.54435483870969</v>
      </c>
      <c r="G14" s="11">
        <f t="shared" ref="G14:G17" si="3">E14-F14</f>
        <v>32.455645161290306</v>
      </c>
      <c r="H14" s="11"/>
      <c r="I14" s="11">
        <f t="shared" ref="I14:I16" si="4">G14-H14</f>
        <v>32.455645161290306</v>
      </c>
      <c r="J14" s="11"/>
      <c r="K14" s="11">
        <f t="shared" ref="K14:K16" si="5">I14-J14</f>
        <v>32.455645161290306</v>
      </c>
      <c r="L14" s="2"/>
    </row>
    <row r="15" spans="1:12" ht="15.75" hidden="1" customHeight="1" outlineLevel="1">
      <c r="A15" s="3" t="s">
        <v>19</v>
      </c>
      <c r="B15" s="6" t="s">
        <v>20</v>
      </c>
      <c r="C15" s="2">
        <v>400</v>
      </c>
      <c r="D15" s="2">
        <v>6</v>
      </c>
      <c r="E15" s="9">
        <v>250</v>
      </c>
      <c r="F15" s="11">
        <f>2458/744*2</f>
        <v>6.60752688172043</v>
      </c>
      <c r="G15" s="11">
        <f t="shared" si="3"/>
        <v>243.39247311827958</v>
      </c>
      <c r="H15" s="11"/>
      <c r="I15" s="11">
        <f t="shared" si="4"/>
        <v>243.39247311827958</v>
      </c>
      <c r="J15" s="11"/>
      <c r="K15" s="11">
        <f t="shared" si="5"/>
        <v>243.39247311827958</v>
      </c>
      <c r="L15" s="2"/>
    </row>
    <row r="16" spans="1:12" ht="15.75" hidden="1" customHeight="1" outlineLevel="1">
      <c r="A16" s="3" t="s">
        <v>22</v>
      </c>
      <c r="B16" s="6" t="s">
        <v>23</v>
      </c>
      <c r="C16" s="2">
        <v>630</v>
      </c>
      <c r="D16" s="2">
        <v>6</v>
      </c>
      <c r="E16" s="9">
        <v>500</v>
      </c>
      <c r="F16" s="11">
        <f>210891/744*1.7</f>
        <v>481.87459677419349</v>
      </c>
      <c r="G16" s="11">
        <f t="shared" si="3"/>
        <v>18.125403225806508</v>
      </c>
      <c r="H16" s="11"/>
      <c r="I16" s="11">
        <f t="shared" si="4"/>
        <v>18.125403225806508</v>
      </c>
      <c r="J16" s="11"/>
      <c r="K16" s="11">
        <f t="shared" si="5"/>
        <v>18.125403225806508</v>
      </c>
      <c r="L16" s="2"/>
    </row>
    <row r="17" spans="1:12" ht="31.5" collapsed="1">
      <c r="A17" s="3">
        <v>9</v>
      </c>
      <c r="B17" s="6" t="s">
        <v>35</v>
      </c>
      <c r="C17" s="2" t="s">
        <v>36</v>
      </c>
      <c r="D17" s="2">
        <v>6</v>
      </c>
      <c r="E17" s="9">
        <v>900</v>
      </c>
      <c r="F17" s="10">
        <v>28</v>
      </c>
      <c r="G17" s="10">
        <f t="shared" si="3"/>
        <v>872</v>
      </c>
      <c r="H17" s="10">
        <v>19</v>
      </c>
      <c r="I17" s="10">
        <f>E17-H17</f>
        <v>881</v>
      </c>
      <c r="J17" s="10">
        <v>760</v>
      </c>
      <c r="K17" s="10">
        <f>E17-J17</f>
        <v>140</v>
      </c>
      <c r="L17" s="2"/>
    </row>
  </sheetData>
  <mergeCells count="29">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 ref="K6:K10"/>
    <mergeCell ref="A1:L1"/>
    <mergeCell ref="A2:L2"/>
    <mergeCell ref="A4:A5"/>
    <mergeCell ref="B4:B5"/>
    <mergeCell ref="C4:C5"/>
    <mergeCell ref="D4:D5"/>
    <mergeCell ref="E4:E5"/>
    <mergeCell ref="L4:L5"/>
    <mergeCell ref="F5:G5"/>
    <mergeCell ref="H5:I5"/>
    <mergeCell ref="J5:K5"/>
    <mergeCell ref="L6:L10"/>
  </mergeCells>
  <pageMargins left="0.31496062992125984" right="0.31496062992125984" top="0.74803149606299213"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L17"/>
  <sheetViews>
    <sheetView view="pageBreakPreview" zoomScale="80" zoomScaleNormal="80" zoomScaleSheetLayoutView="80" workbookViewId="0">
      <selection activeCell="A6" sqref="A6:K17"/>
    </sheetView>
  </sheetViews>
  <sheetFormatPr defaultRowHeight="15.75" outlineLevelRow="1"/>
  <cols>
    <col min="1" max="1" width="4.5703125" style="1" customWidth="1"/>
    <col min="2" max="2" width="12.140625" style="8" customWidth="1"/>
    <col min="3" max="3" width="15.5703125" style="1" customWidth="1"/>
    <col min="4" max="4" width="13.42578125" style="1" customWidth="1"/>
    <col min="5" max="5" width="15.42578125" style="1" customWidth="1"/>
    <col min="6" max="11" width="16.7109375" style="1" customWidth="1"/>
    <col min="12" max="12" width="10.28515625" style="1" customWidth="1"/>
    <col min="13" max="13" width="12.140625" style="1" customWidth="1"/>
    <col min="14" max="16384" width="9.140625" style="1"/>
  </cols>
  <sheetData>
    <row r="1" spans="1:12" ht="15.75" customHeight="1">
      <c r="A1" s="48" t="s">
        <v>30</v>
      </c>
      <c r="B1" s="48"/>
      <c r="C1" s="48"/>
      <c r="D1" s="48"/>
      <c r="E1" s="48"/>
      <c r="F1" s="48"/>
      <c r="G1" s="48"/>
      <c r="H1" s="48"/>
      <c r="I1" s="48"/>
      <c r="J1" s="48"/>
      <c r="K1" s="48"/>
      <c r="L1" s="48"/>
    </row>
    <row r="2" spans="1:12" ht="15.75" customHeight="1">
      <c r="A2" s="48" t="s">
        <v>62</v>
      </c>
      <c r="B2" s="48"/>
      <c r="C2" s="48"/>
      <c r="D2" s="48"/>
      <c r="E2" s="48"/>
      <c r="F2" s="48"/>
      <c r="G2" s="48"/>
      <c r="H2" s="48"/>
      <c r="I2" s="48"/>
      <c r="J2" s="48"/>
      <c r="K2" s="48"/>
      <c r="L2" s="48"/>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54" t="s">
        <v>48</v>
      </c>
      <c r="K5" s="55"/>
      <c r="L5" s="41"/>
    </row>
    <row r="6" spans="1:12">
      <c r="A6" s="3" t="s">
        <v>0</v>
      </c>
      <c r="B6" s="4" t="s">
        <v>1</v>
      </c>
      <c r="C6" s="2" t="s">
        <v>31</v>
      </c>
      <c r="D6" s="40">
        <v>6</v>
      </c>
      <c r="E6" s="46">
        <v>2470</v>
      </c>
      <c r="F6" s="43">
        <v>390</v>
      </c>
      <c r="G6" s="43">
        <f>E6-F6</f>
        <v>2080</v>
      </c>
      <c r="H6" s="43">
        <v>400</v>
      </c>
      <c r="I6" s="43">
        <f>E6-H6</f>
        <v>2070</v>
      </c>
      <c r="J6" s="43">
        <v>410</v>
      </c>
      <c r="K6" s="43">
        <f>E6-J6</f>
        <v>2060</v>
      </c>
      <c r="L6" s="40"/>
    </row>
    <row r="7" spans="1:12">
      <c r="A7" s="3" t="s">
        <v>2</v>
      </c>
      <c r="B7" s="4" t="s">
        <v>3</v>
      </c>
      <c r="C7" s="2" t="s">
        <v>32</v>
      </c>
      <c r="D7" s="42"/>
      <c r="E7" s="47"/>
      <c r="F7" s="49"/>
      <c r="G7" s="47">
        <f t="shared" ref="G7:K10" si="0">E7-F7</f>
        <v>0</v>
      </c>
      <c r="H7" s="49"/>
      <c r="I7" s="47">
        <f t="shared" si="0"/>
        <v>0</v>
      </c>
      <c r="J7" s="49"/>
      <c r="K7" s="47">
        <f t="shared" si="0"/>
        <v>0</v>
      </c>
      <c r="L7" s="42"/>
    </row>
    <row r="8" spans="1:12">
      <c r="A8" s="3" t="s">
        <v>4</v>
      </c>
      <c r="B8" s="4" t="s">
        <v>5</v>
      </c>
      <c r="C8" s="2">
        <v>400</v>
      </c>
      <c r="D8" s="42"/>
      <c r="E8" s="47"/>
      <c r="F8" s="49"/>
      <c r="G8" s="47">
        <f t="shared" si="0"/>
        <v>0</v>
      </c>
      <c r="H8" s="49"/>
      <c r="I8" s="47">
        <f t="shared" si="0"/>
        <v>0</v>
      </c>
      <c r="J8" s="49"/>
      <c r="K8" s="47">
        <f t="shared" si="0"/>
        <v>0</v>
      </c>
      <c r="L8" s="42"/>
    </row>
    <row r="9" spans="1:12">
      <c r="A9" s="3" t="s">
        <v>6</v>
      </c>
      <c r="B9" s="4" t="s">
        <v>7</v>
      </c>
      <c r="C9" s="2">
        <v>400</v>
      </c>
      <c r="D9" s="42"/>
      <c r="E9" s="47"/>
      <c r="F9" s="49"/>
      <c r="G9" s="47">
        <f t="shared" si="0"/>
        <v>0</v>
      </c>
      <c r="H9" s="49"/>
      <c r="I9" s="47">
        <f t="shared" si="0"/>
        <v>0</v>
      </c>
      <c r="J9" s="49"/>
      <c r="K9" s="47">
        <f t="shared" si="0"/>
        <v>0</v>
      </c>
      <c r="L9" s="42"/>
    </row>
    <row r="10" spans="1:12">
      <c r="A10" s="3" t="s">
        <v>8</v>
      </c>
      <c r="B10" s="4" t="s">
        <v>9</v>
      </c>
      <c r="C10" s="2">
        <v>320</v>
      </c>
      <c r="D10" s="41"/>
      <c r="E10" s="45"/>
      <c r="F10" s="44"/>
      <c r="G10" s="45">
        <f t="shared" si="0"/>
        <v>0</v>
      </c>
      <c r="H10" s="44"/>
      <c r="I10" s="45">
        <f t="shared" si="0"/>
        <v>0</v>
      </c>
      <c r="J10" s="44"/>
      <c r="K10" s="45">
        <f t="shared" si="0"/>
        <v>0</v>
      </c>
      <c r="L10" s="41"/>
    </row>
    <row r="11" spans="1:12" ht="31.5">
      <c r="A11" s="3" t="s">
        <v>10</v>
      </c>
      <c r="B11" s="4" t="s">
        <v>60</v>
      </c>
      <c r="C11" s="2" t="s">
        <v>61</v>
      </c>
      <c r="D11" s="2">
        <v>6</v>
      </c>
      <c r="E11" s="9">
        <v>1500</v>
      </c>
      <c r="F11" s="10">
        <v>279</v>
      </c>
      <c r="G11" s="10">
        <f>E11-F11</f>
        <v>1221</v>
      </c>
      <c r="H11" s="10">
        <v>211</v>
      </c>
      <c r="I11" s="10">
        <f>E11-H11</f>
        <v>1289</v>
      </c>
      <c r="J11" s="10">
        <v>330</v>
      </c>
      <c r="K11" s="10">
        <f>E11-J11</f>
        <v>1170</v>
      </c>
      <c r="L11" s="2"/>
    </row>
    <row r="12" spans="1:12">
      <c r="A12" s="3" t="s">
        <v>12</v>
      </c>
      <c r="B12" s="4" t="s">
        <v>13</v>
      </c>
      <c r="C12" s="2" t="s">
        <v>33</v>
      </c>
      <c r="D12" s="40">
        <v>10</v>
      </c>
      <c r="E12" s="46">
        <v>1512</v>
      </c>
      <c r="F12" s="43">
        <v>158</v>
      </c>
      <c r="G12" s="43">
        <f>E12-F12</f>
        <v>1354</v>
      </c>
      <c r="H12" s="43">
        <v>107</v>
      </c>
      <c r="I12" s="43">
        <f>E12-H12</f>
        <v>1405</v>
      </c>
      <c r="J12" s="43">
        <v>211</v>
      </c>
      <c r="K12" s="43">
        <f>E12-J12</f>
        <v>1301</v>
      </c>
      <c r="L12" s="40"/>
    </row>
    <row r="13" spans="1:12">
      <c r="A13" s="3" t="s">
        <v>14</v>
      </c>
      <c r="B13" s="4" t="s">
        <v>15</v>
      </c>
      <c r="C13" s="2" t="s">
        <v>33</v>
      </c>
      <c r="D13" s="41"/>
      <c r="E13" s="45"/>
      <c r="F13" s="44"/>
      <c r="G13" s="45"/>
      <c r="H13" s="44"/>
      <c r="I13" s="45"/>
      <c r="J13" s="44"/>
      <c r="K13" s="45"/>
      <c r="L13" s="41"/>
    </row>
    <row r="14" spans="1:12" ht="15.75" hidden="1" customHeight="1" outlineLevel="1">
      <c r="A14" s="3" t="s">
        <v>18</v>
      </c>
      <c r="B14" s="6" t="s">
        <v>17</v>
      </c>
      <c r="C14" s="2" t="s">
        <v>33</v>
      </c>
      <c r="D14" s="2">
        <v>6</v>
      </c>
      <c r="E14" s="9">
        <v>450</v>
      </c>
      <c r="F14" s="11"/>
      <c r="G14" s="11">
        <f t="shared" ref="G14:K17" si="1">E14-F14</f>
        <v>450</v>
      </c>
      <c r="H14" s="11"/>
      <c r="I14" s="11">
        <f t="shared" si="1"/>
        <v>450</v>
      </c>
      <c r="J14" s="11"/>
      <c r="K14" s="11">
        <f t="shared" si="1"/>
        <v>450</v>
      </c>
      <c r="L14" s="2"/>
    </row>
    <row r="15" spans="1:12" ht="15.75" hidden="1" customHeight="1" outlineLevel="1">
      <c r="A15" s="3" t="s">
        <v>19</v>
      </c>
      <c r="B15" s="6" t="s">
        <v>20</v>
      </c>
      <c r="C15" s="2">
        <v>400</v>
      </c>
      <c r="D15" s="2">
        <v>6</v>
      </c>
      <c r="E15" s="9">
        <v>250</v>
      </c>
      <c r="F15" s="11"/>
      <c r="G15" s="11">
        <f t="shared" si="1"/>
        <v>250</v>
      </c>
      <c r="H15" s="11"/>
      <c r="I15" s="11">
        <f t="shared" si="1"/>
        <v>250</v>
      </c>
      <c r="J15" s="11"/>
      <c r="K15" s="11">
        <f t="shared" si="1"/>
        <v>250</v>
      </c>
      <c r="L15" s="2"/>
    </row>
    <row r="16" spans="1:12" ht="15.75" hidden="1" customHeight="1" outlineLevel="1">
      <c r="A16" s="3" t="s">
        <v>22</v>
      </c>
      <c r="B16" s="6" t="s">
        <v>23</v>
      </c>
      <c r="C16" s="2">
        <v>630</v>
      </c>
      <c r="D16" s="2">
        <v>6</v>
      </c>
      <c r="E16" s="9">
        <v>500</v>
      </c>
      <c r="F16" s="11"/>
      <c r="G16" s="11">
        <f t="shared" si="1"/>
        <v>500</v>
      </c>
      <c r="H16" s="11"/>
      <c r="I16" s="11">
        <f t="shared" si="1"/>
        <v>500</v>
      </c>
      <c r="J16" s="11"/>
      <c r="K16" s="11">
        <f t="shared" si="1"/>
        <v>500</v>
      </c>
      <c r="L16" s="2"/>
    </row>
    <row r="17" spans="1:12" ht="31.5" collapsed="1">
      <c r="A17" s="3">
        <v>9</v>
      </c>
      <c r="B17" s="6" t="s">
        <v>35</v>
      </c>
      <c r="C17" s="2" t="s">
        <v>36</v>
      </c>
      <c r="D17" s="2">
        <v>6</v>
      </c>
      <c r="E17" s="9">
        <v>900</v>
      </c>
      <c r="F17" s="10">
        <v>800</v>
      </c>
      <c r="G17" s="10">
        <f t="shared" si="1"/>
        <v>100</v>
      </c>
      <c r="H17" s="10">
        <v>19</v>
      </c>
      <c r="I17" s="10">
        <f>E17-H17</f>
        <v>881</v>
      </c>
      <c r="J17" s="10">
        <v>39</v>
      </c>
      <c r="K17" s="10">
        <f>E17-J17</f>
        <v>861</v>
      </c>
      <c r="L17" s="2"/>
    </row>
  </sheetData>
  <mergeCells count="29">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 ref="K6:K10"/>
    <mergeCell ref="A1:L1"/>
    <mergeCell ref="A2:L2"/>
    <mergeCell ref="A4:A5"/>
    <mergeCell ref="B4:B5"/>
    <mergeCell ref="C4:C5"/>
    <mergeCell ref="D4:D5"/>
    <mergeCell ref="E4:E5"/>
    <mergeCell ref="L4:L5"/>
    <mergeCell ref="F5:G5"/>
    <mergeCell ref="H5:I5"/>
    <mergeCell ref="J5:K5"/>
    <mergeCell ref="L6:L10"/>
  </mergeCells>
  <pageMargins left="0.31496062992125984" right="0.31496062992125984" top="0.74803149606299213"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L17"/>
  <sheetViews>
    <sheetView view="pageBreakPreview" zoomScaleNormal="80" zoomScaleSheetLayoutView="100" workbookViewId="0">
      <selection activeCell="I28" sqref="I28"/>
    </sheetView>
  </sheetViews>
  <sheetFormatPr defaultRowHeight="15.75" outlineLevelRow="1"/>
  <cols>
    <col min="1" max="1" width="4.5703125" style="1" customWidth="1"/>
    <col min="2" max="2" width="12.140625" style="8"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8" t="s">
        <v>30</v>
      </c>
      <c r="B1" s="48"/>
      <c r="C1" s="48"/>
      <c r="D1" s="48"/>
      <c r="E1" s="48"/>
      <c r="F1" s="48"/>
      <c r="G1" s="48"/>
      <c r="H1" s="48"/>
      <c r="I1" s="48"/>
      <c r="J1" s="48"/>
      <c r="K1" s="48"/>
      <c r="L1" s="48"/>
    </row>
    <row r="2" spans="1:12" ht="15.75" customHeight="1">
      <c r="A2" s="48" t="s">
        <v>57</v>
      </c>
      <c r="B2" s="48"/>
      <c r="C2" s="48"/>
      <c r="D2" s="48"/>
      <c r="E2" s="48"/>
      <c r="F2" s="48"/>
      <c r="G2" s="48"/>
      <c r="H2" s="48"/>
      <c r="I2" s="48"/>
      <c r="J2" s="48"/>
      <c r="K2" s="48"/>
      <c r="L2" s="48"/>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61" t="s">
        <v>48</v>
      </c>
      <c r="K5" s="62"/>
      <c r="L5" s="41"/>
    </row>
    <row r="6" spans="1:12">
      <c r="A6" s="3" t="s">
        <v>0</v>
      </c>
      <c r="B6" s="4" t="s">
        <v>1</v>
      </c>
      <c r="C6" s="2" t="s">
        <v>31</v>
      </c>
      <c r="D6" s="40">
        <v>6</v>
      </c>
      <c r="E6" s="46">
        <v>2470</v>
      </c>
      <c r="F6" s="43">
        <v>495</v>
      </c>
      <c r="G6" s="43">
        <f>E6-F6</f>
        <v>1975</v>
      </c>
      <c r="H6" s="43">
        <v>483</v>
      </c>
      <c r="I6" s="43">
        <f>$E6-H6</f>
        <v>1987</v>
      </c>
      <c r="J6" s="43">
        <v>447</v>
      </c>
      <c r="K6" s="43">
        <f>E6-J6</f>
        <v>2023</v>
      </c>
      <c r="L6" s="40"/>
    </row>
    <row r="7" spans="1:12">
      <c r="A7" s="3" t="s">
        <v>2</v>
      </c>
      <c r="B7" s="4" t="s">
        <v>3</v>
      </c>
      <c r="C7" s="2" t="s">
        <v>32</v>
      </c>
      <c r="D7" s="42"/>
      <c r="E7" s="47"/>
      <c r="F7" s="49"/>
      <c r="G7" s="47">
        <f t="shared" ref="G7:G10" si="0">E7-F7</f>
        <v>0</v>
      </c>
      <c r="H7" s="49"/>
      <c r="I7" s="47" t="e">
        <f>#REF!-H7</f>
        <v>#REF!</v>
      </c>
      <c r="J7" s="49"/>
      <c r="K7" s="47" t="e">
        <f>#REF!-J7</f>
        <v>#REF!</v>
      </c>
      <c r="L7" s="42"/>
    </row>
    <row r="8" spans="1:12">
      <c r="A8" s="3" t="s">
        <v>4</v>
      </c>
      <c r="B8" s="4" t="s">
        <v>5</v>
      </c>
      <c r="C8" s="2">
        <v>400</v>
      </c>
      <c r="D8" s="42"/>
      <c r="E8" s="47"/>
      <c r="F8" s="49"/>
      <c r="G8" s="47">
        <f t="shared" si="0"/>
        <v>0</v>
      </c>
      <c r="H8" s="49"/>
      <c r="I8" s="47" t="e">
        <f>#REF!-H8</f>
        <v>#REF!</v>
      </c>
      <c r="J8" s="49"/>
      <c r="K8" s="47" t="e">
        <f>#REF!-J8</f>
        <v>#REF!</v>
      </c>
      <c r="L8" s="42"/>
    </row>
    <row r="9" spans="1:12">
      <c r="A9" s="3" t="s">
        <v>6</v>
      </c>
      <c r="B9" s="4" t="s">
        <v>7</v>
      </c>
      <c r="C9" s="2">
        <v>400</v>
      </c>
      <c r="D9" s="42"/>
      <c r="E9" s="47"/>
      <c r="F9" s="49"/>
      <c r="G9" s="47">
        <f t="shared" si="0"/>
        <v>0</v>
      </c>
      <c r="H9" s="49"/>
      <c r="I9" s="47" t="e">
        <f>#REF!-H9</f>
        <v>#REF!</v>
      </c>
      <c r="J9" s="49"/>
      <c r="K9" s="47" t="e">
        <f>#REF!-J9</f>
        <v>#REF!</v>
      </c>
      <c r="L9" s="42"/>
    </row>
    <row r="10" spans="1:12">
      <c r="A10" s="3" t="s">
        <v>8</v>
      </c>
      <c r="B10" s="4" t="s">
        <v>9</v>
      </c>
      <c r="C10" s="2">
        <v>320</v>
      </c>
      <c r="D10" s="41"/>
      <c r="E10" s="45"/>
      <c r="F10" s="44"/>
      <c r="G10" s="45">
        <f t="shared" si="0"/>
        <v>0</v>
      </c>
      <c r="H10" s="44"/>
      <c r="I10" s="45" t="e">
        <f>#REF!-H10</f>
        <v>#REF!</v>
      </c>
      <c r="J10" s="44"/>
      <c r="K10" s="45" t="e">
        <f>#REF!-J10</f>
        <v>#REF!</v>
      </c>
      <c r="L10" s="41"/>
    </row>
    <row r="11" spans="1:12">
      <c r="A11" s="3" t="s">
        <v>10</v>
      </c>
      <c r="B11" s="4" t="s">
        <v>11</v>
      </c>
      <c r="C11" s="2" t="s">
        <v>33</v>
      </c>
      <c r="D11" s="2">
        <v>6</v>
      </c>
      <c r="E11" s="9">
        <v>1500</v>
      </c>
      <c r="F11" s="10">
        <v>224</v>
      </c>
      <c r="G11" s="10">
        <f>E11-F11</f>
        <v>1276</v>
      </c>
      <c r="H11" s="10">
        <v>233</v>
      </c>
      <c r="I11" s="10">
        <f t="shared" ref="I11" si="1">$E11-H11</f>
        <v>1267</v>
      </c>
      <c r="J11" s="10">
        <v>241</v>
      </c>
      <c r="K11" s="10">
        <f>E11-J11</f>
        <v>1259</v>
      </c>
      <c r="L11" s="2"/>
    </row>
    <row r="12" spans="1:12">
      <c r="A12" s="3" t="s">
        <v>12</v>
      </c>
      <c r="B12" s="4" t="s">
        <v>13</v>
      </c>
      <c r="C12" s="2" t="s">
        <v>33</v>
      </c>
      <c r="D12" s="40">
        <v>10</v>
      </c>
      <c r="E12" s="46">
        <v>1512</v>
      </c>
      <c r="F12" s="43">
        <v>238</v>
      </c>
      <c r="G12" s="43">
        <f>E12-F12</f>
        <v>1274</v>
      </c>
      <c r="H12" s="43">
        <v>193</v>
      </c>
      <c r="I12" s="43">
        <f>E12-H12</f>
        <v>1319</v>
      </c>
      <c r="J12" s="43">
        <v>221</v>
      </c>
      <c r="K12" s="43">
        <f>E12-J12</f>
        <v>1291</v>
      </c>
      <c r="L12" s="40"/>
    </row>
    <row r="13" spans="1:12">
      <c r="A13" s="3" t="s">
        <v>14</v>
      </c>
      <c r="B13" s="4" t="s">
        <v>15</v>
      </c>
      <c r="C13" s="2" t="s">
        <v>33</v>
      </c>
      <c r="D13" s="41"/>
      <c r="E13" s="45"/>
      <c r="F13" s="44"/>
      <c r="G13" s="45"/>
      <c r="H13" s="44"/>
      <c r="I13" s="44" t="e">
        <f>#REF!-H13</f>
        <v>#REF!</v>
      </c>
      <c r="J13" s="44"/>
      <c r="K13" s="45" t="e">
        <f>#REF!-J13</f>
        <v>#REF!</v>
      </c>
      <c r="L13" s="41"/>
    </row>
    <row r="14" spans="1:12" hidden="1" outlineLevel="1">
      <c r="A14" s="3" t="s">
        <v>18</v>
      </c>
      <c r="B14" s="6" t="s">
        <v>17</v>
      </c>
      <c r="C14" s="2" t="s">
        <v>33</v>
      </c>
      <c r="D14" s="2">
        <v>6</v>
      </c>
      <c r="E14" s="9">
        <v>450</v>
      </c>
      <c r="F14" s="11">
        <f>172585/744*1.8</f>
        <v>417.54435483870969</v>
      </c>
      <c r="G14" s="11">
        <f t="shared" ref="G14:G17" si="2">E14-F14</f>
        <v>32.455645161290306</v>
      </c>
      <c r="H14" s="11">
        <f>165637/672*1.8</f>
        <v>443.67053571428573</v>
      </c>
      <c r="I14" s="11">
        <f>E14-H14</f>
        <v>6.3294642857142662</v>
      </c>
      <c r="J14" s="11">
        <f>177693/744*1.8</f>
        <v>429.90241935483874</v>
      </c>
      <c r="K14" s="11">
        <f>E14-J14</f>
        <v>20.097580645161258</v>
      </c>
      <c r="L14" s="2"/>
    </row>
    <row r="15" spans="1:12" hidden="1" outlineLevel="1">
      <c r="A15" s="3" t="s">
        <v>19</v>
      </c>
      <c r="B15" s="6" t="s">
        <v>20</v>
      </c>
      <c r="C15" s="2">
        <v>400</v>
      </c>
      <c r="D15" s="2">
        <v>6</v>
      </c>
      <c r="E15" s="9">
        <v>250</v>
      </c>
      <c r="F15" s="11">
        <f>2458/744*2</f>
        <v>6.60752688172043</v>
      </c>
      <c r="G15" s="11">
        <f t="shared" si="2"/>
        <v>243.39247311827958</v>
      </c>
      <c r="H15" s="11">
        <f>2575/672*2</f>
        <v>7.6636904761904763</v>
      </c>
      <c r="I15" s="11">
        <f>E15-H15</f>
        <v>242.33630952380952</v>
      </c>
      <c r="J15" s="11">
        <f>5851/744*2</f>
        <v>15.728494623655914</v>
      </c>
      <c r="K15" s="11">
        <f>E15-J15</f>
        <v>234.27150537634409</v>
      </c>
      <c r="L15" s="2"/>
    </row>
    <row r="16" spans="1:12" hidden="1" outlineLevel="1">
      <c r="A16" s="3" t="s">
        <v>22</v>
      </c>
      <c r="B16" s="6" t="s">
        <v>23</v>
      </c>
      <c r="C16" s="2">
        <v>630</v>
      </c>
      <c r="D16" s="2">
        <v>6</v>
      </c>
      <c r="E16" s="9">
        <v>500</v>
      </c>
      <c r="F16" s="11">
        <f>210891/744*1.7</f>
        <v>481.87459677419349</v>
      </c>
      <c r="G16" s="11">
        <f t="shared" si="2"/>
        <v>18.125403225806508</v>
      </c>
      <c r="H16" s="11">
        <f>220022/672*1.5</f>
        <v>491.12053571428572</v>
      </c>
      <c r="I16" s="11">
        <f>E16-H16</f>
        <v>8.8794642857142776</v>
      </c>
      <c r="J16" s="11">
        <f>168822/744*2</f>
        <v>453.82258064516128</v>
      </c>
      <c r="K16" s="11">
        <f>E16-J16</f>
        <v>46.177419354838719</v>
      </c>
      <c r="L16" s="2"/>
    </row>
    <row r="17" spans="1:12" ht="31.5" collapsed="1">
      <c r="A17" s="3" t="s">
        <v>42</v>
      </c>
      <c r="B17" s="6" t="s">
        <v>35</v>
      </c>
      <c r="C17" s="2" t="s">
        <v>36</v>
      </c>
      <c r="D17" s="2">
        <v>6</v>
      </c>
      <c r="E17" s="9">
        <v>900</v>
      </c>
      <c r="F17" s="10">
        <v>45</v>
      </c>
      <c r="G17" s="10">
        <f t="shared" si="2"/>
        <v>855</v>
      </c>
      <c r="H17" s="10">
        <v>54</v>
      </c>
      <c r="I17" s="10">
        <f>E17-H17</f>
        <v>846</v>
      </c>
      <c r="J17" s="10">
        <v>88</v>
      </c>
      <c r="K17" s="10">
        <f>E17-J17</f>
        <v>812</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17"/>
  <sheetViews>
    <sheetView view="pageBreakPreview" zoomScaleNormal="80" zoomScaleSheetLayoutView="100" workbookViewId="0">
      <selection activeCell="D6" sqref="D6:K17"/>
    </sheetView>
  </sheetViews>
  <sheetFormatPr defaultRowHeight="15.75" outlineLevelRow="1"/>
  <cols>
    <col min="1" max="1" width="4.5703125" style="1" customWidth="1"/>
    <col min="2" max="2" width="12.140625" style="8"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8" t="s">
        <v>30</v>
      </c>
      <c r="B1" s="48"/>
      <c r="C1" s="48"/>
      <c r="D1" s="48"/>
      <c r="E1" s="48"/>
      <c r="F1" s="48"/>
      <c r="G1" s="48"/>
      <c r="H1" s="48"/>
      <c r="I1" s="48"/>
      <c r="J1" s="48"/>
      <c r="K1" s="48"/>
      <c r="L1" s="48"/>
    </row>
    <row r="2" spans="1:12" ht="15.75" customHeight="1">
      <c r="A2" s="48" t="s">
        <v>63</v>
      </c>
      <c r="B2" s="48"/>
      <c r="C2" s="48"/>
      <c r="D2" s="48"/>
      <c r="E2" s="48"/>
      <c r="F2" s="48"/>
      <c r="G2" s="48"/>
      <c r="H2" s="48"/>
      <c r="I2" s="48"/>
      <c r="J2" s="48"/>
      <c r="K2" s="48"/>
      <c r="L2" s="48"/>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53</v>
      </c>
      <c r="G5" s="51"/>
      <c r="H5" s="52" t="s">
        <v>54</v>
      </c>
      <c r="I5" s="53"/>
      <c r="J5" s="54" t="s">
        <v>55</v>
      </c>
      <c r="K5" s="55"/>
      <c r="L5" s="41"/>
    </row>
    <row r="6" spans="1:12">
      <c r="A6" s="3" t="s">
        <v>0</v>
      </c>
      <c r="B6" s="4" t="s">
        <v>1</v>
      </c>
      <c r="C6" s="2" t="s">
        <v>31</v>
      </c>
      <c r="D6" s="67">
        <v>6</v>
      </c>
      <c r="E6" s="67">
        <v>2470</v>
      </c>
      <c r="F6" s="70">
        <v>541</v>
      </c>
      <c r="G6" s="70">
        <f>E6-F6</f>
        <v>1929</v>
      </c>
      <c r="H6" s="63">
        <v>617</v>
      </c>
      <c r="I6" s="63">
        <f>$E6-H6</f>
        <v>1853</v>
      </c>
      <c r="J6" s="63">
        <v>568</v>
      </c>
      <c r="K6" s="63">
        <f>E6-J6</f>
        <v>1902</v>
      </c>
      <c r="L6" s="40"/>
    </row>
    <row r="7" spans="1:12">
      <c r="A7" s="3" t="s">
        <v>2</v>
      </c>
      <c r="B7" s="4" t="s">
        <v>3</v>
      </c>
      <c r="C7" s="2" t="s">
        <v>32</v>
      </c>
      <c r="D7" s="68"/>
      <c r="E7" s="68"/>
      <c r="F7" s="71"/>
      <c r="G7" s="68">
        <f t="shared" ref="G7:G10" si="0">E7-F7</f>
        <v>0</v>
      </c>
      <c r="H7" s="73"/>
      <c r="I7" s="64" t="e">
        <f>#REF!-H7</f>
        <v>#REF!</v>
      </c>
      <c r="J7" s="73"/>
      <c r="K7" s="64" t="e">
        <f>#REF!-J7</f>
        <v>#REF!</v>
      </c>
      <c r="L7" s="42"/>
    </row>
    <row r="8" spans="1:12">
      <c r="A8" s="3" t="s">
        <v>4</v>
      </c>
      <c r="B8" s="4" t="s">
        <v>5</v>
      </c>
      <c r="C8" s="2">
        <v>400</v>
      </c>
      <c r="D8" s="68"/>
      <c r="E8" s="68"/>
      <c r="F8" s="71"/>
      <c r="G8" s="68">
        <f t="shared" si="0"/>
        <v>0</v>
      </c>
      <c r="H8" s="73"/>
      <c r="I8" s="64" t="e">
        <f>#REF!-H8</f>
        <v>#REF!</v>
      </c>
      <c r="J8" s="73"/>
      <c r="K8" s="64" t="e">
        <f>#REF!-J8</f>
        <v>#REF!</v>
      </c>
      <c r="L8" s="42"/>
    </row>
    <row r="9" spans="1:12">
      <c r="A9" s="3" t="s">
        <v>6</v>
      </c>
      <c r="B9" s="4" t="s">
        <v>7</v>
      </c>
      <c r="C9" s="2">
        <v>400</v>
      </c>
      <c r="D9" s="68"/>
      <c r="E9" s="68"/>
      <c r="F9" s="71"/>
      <c r="G9" s="68">
        <f t="shared" si="0"/>
        <v>0</v>
      </c>
      <c r="H9" s="73"/>
      <c r="I9" s="64" t="e">
        <f>#REF!-H9</f>
        <v>#REF!</v>
      </c>
      <c r="J9" s="73"/>
      <c r="K9" s="64" t="e">
        <f>#REF!-J9</f>
        <v>#REF!</v>
      </c>
      <c r="L9" s="42"/>
    </row>
    <row r="10" spans="1:12">
      <c r="A10" s="3" t="s">
        <v>8</v>
      </c>
      <c r="B10" s="4" t="s">
        <v>9</v>
      </c>
      <c r="C10" s="2">
        <v>320</v>
      </c>
      <c r="D10" s="69"/>
      <c r="E10" s="69"/>
      <c r="F10" s="72"/>
      <c r="G10" s="69">
        <f t="shared" si="0"/>
        <v>0</v>
      </c>
      <c r="H10" s="66"/>
      <c r="I10" s="65" t="e">
        <f>#REF!-H10</f>
        <v>#REF!</v>
      </c>
      <c r="J10" s="66"/>
      <c r="K10" s="65" t="e">
        <f>#REF!-J10</f>
        <v>#REF!</v>
      </c>
      <c r="L10" s="41"/>
    </row>
    <row r="11" spans="1:12">
      <c r="A11" s="3" t="s">
        <v>10</v>
      </c>
      <c r="B11" s="4" t="s">
        <v>11</v>
      </c>
      <c r="C11" s="2" t="s">
        <v>33</v>
      </c>
      <c r="D11" s="17">
        <v>6</v>
      </c>
      <c r="E11" s="17">
        <v>1500</v>
      </c>
      <c r="F11" s="11">
        <v>220</v>
      </c>
      <c r="G11" s="11">
        <f>E11-F11</f>
        <v>1280</v>
      </c>
      <c r="H11" s="13">
        <v>275</v>
      </c>
      <c r="I11" s="13">
        <f t="shared" ref="I11" si="1">$E11-H11</f>
        <v>1225</v>
      </c>
      <c r="J11" s="13">
        <v>322</v>
      </c>
      <c r="K11" s="13">
        <f>E11-J11</f>
        <v>1178</v>
      </c>
      <c r="L11" s="2"/>
    </row>
    <row r="12" spans="1:12">
      <c r="A12" s="3" t="s">
        <v>12</v>
      </c>
      <c r="B12" s="4" t="s">
        <v>13</v>
      </c>
      <c r="C12" s="2" t="s">
        <v>33</v>
      </c>
      <c r="D12" s="67">
        <v>10</v>
      </c>
      <c r="E12" s="67">
        <v>1512</v>
      </c>
      <c r="F12" s="70">
        <v>217</v>
      </c>
      <c r="G12" s="70">
        <f>E12-F12</f>
        <v>1295</v>
      </c>
      <c r="H12" s="63">
        <v>340</v>
      </c>
      <c r="I12" s="63">
        <f>E12-H12</f>
        <v>1172</v>
      </c>
      <c r="J12" s="63">
        <v>341</v>
      </c>
      <c r="K12" s="63">
        <f>E12-J12</f>
        <v>1171</v>
      </c>
      <c r="L12" s="40"/>
    </row>
    <row r="13" spans="1:12">
      <c r="A13" s="3" t="s">
        <v>14</v>
      </c>
      <c r="B13" s="4" t="s">
        <v>15</v>
      </c>
      <c r="C13" s="2" t="s">
        <v>33</v>
      </c>
      <c r="D13" s="69"/>
      <c r="E13" s="69"/>
      <c r="F13" s="72"/>
      <c r="G13" s="69"/>
      <c r="H13" s="66"/>
      <c r="I13" s="66" t="e">
        <f>#REF!-H13</f>
        <v>#REF!</v>
      </c>
      <c r="J13" s="66"/>
      <c r="K13" s="65" t="e">
        <f>#REF!-J13</f>
        <v>#REF!</v>
      </c>
      <c r="L13" s="41"/>
    </row>
    <row r="14" spans="1:12" hidden="1" outlineLevel="1">
      <c r="A14" s="3" t="s">
        <v>18</v>
      </c>
      <c r="B14" s="6" t="s">
        <v>17</v>
      </c>
      <c r="C14" s="2" t="s">
        <v>33</v>
      </c>
      <c r="D14" s="17">
        <v>6</v>
      </c>
      <c r="E14" s="17">
        <v>450</v>
      </c>
      <c r="F14" s="11">
        <f>172585/744*1.8</f>
        <v>417.54435483870969</v>
      </c>
      <c r="G14" s="11">
        <f t="shared" ref="G14:G17" si="2">E14-F14</f>
        <v>32.455645161290306</v>
      </c>
      <c r="H14" s="13">
        <f>165637/672*1.8</f>
        <v>443.67053571428573</v>
      </c>
      <c r="I14" s="13">
        <f>E14-H14</f>
        <v>6.3294642857142662</v>
      </c>
      <c r="J14" s="13">
        <f>177693/744*1.8</f>
        <v>429.90241935483874</v>
      </c>
      <c r="K14" s="13">
        <f>E14-J14</f>
        <v>20.097580645161258</v>
      </c>
      <c r="L14" s="2"/>
    </row>
    <row r="15" spans="1:12" hidden="1" outlineLevel="1">
      <c r="A15" s="3" t="s">
        <v>19</v>
      </c>
      <c r="B15" s="6" t="s">
        <v>20</v>
      </c>
      <c r="C15" s="2">
        <v>400</v>
      </c>
      <c r="D15" s="17">
        <v>6</v>
      </c>
      <c r="E15" s="17">
        <v>250</v>
      </c>
      <c r="F15" s="11">
        <f>2458/744*2</f>
        <v>6.60752688172043</v>
      </c>
      <c r="G15" s="11">
        <f t="shared" si="2"/>
        <v>243.39247311827958</v>
      </c>
      <c r="H15" s="13">
        <f>2575/672*2</f>
        <v>7.6636904761904763</v>
      </c>
      <c r="I15" s="13">
        <f>E15-H15</f>
        <v>242.33630952380952</v>
      </c>
      <c r="J15" s="13">
        <f>5851/744*2</f>
        <v>15.728494623655914</v>
      </c>
      <c r="K15" s="13">
        <f>E15-J15</f>
        <v>234.27150537634409</v>
      </c>
      <c r="L15" s="2"/>
    </row>
    <row r="16" spans="1:12" hidden="1" outlineLevel="1">
      <c r="A16" s="3" t="s">
        <v>22</v>
      </c>
      <c r="B16" s="6" t="s">
        <v>23</v>
      </c>
      <c r="C16" s="2">
        <v>630</v>
      </c>
      <c r="D16" s="17">
        <v>6</v>
      </c>
      <c r="E16" s="17">
        <v>500</v>
      </c>
      <c r="F16" s="11">
        <f>210891/744*1.7</f>
        <v>481.87459677419349</v>
      </c>
      <c r="G16" s="11">
        <f t="shared" si="2"/>
        <v>18.125403225806508</v>
      </c>
      <c r="H16" s="13">
        <f>220022/672*1.5</f>
        <v>491.12053571428572</v>
      </c>
      <c r="I16" s="13">
        <f>E16-H16</f>
        <v>8.8794642857142776</v>
      </c>
      <c r="J16" s="13">
        <f>168822/744*2</f>
        <v>453.82258064516128</v>
      </c>
      <c r="K16" s="13">
        <f>E16-J16</f>
        <v>46.177419354838719</v>
      </c>
      <c r="L16" s="2"/>
    </row>
    <row r="17" spans="1:12" ht="31.5" collapsed="1">
      <c r="A17" s="3">
        <v>9</v>
      </c>
      <c r="B17" s="6" t="s">
        <v>35</v>
      </c>
      <c r="C17" s="2" t="s">
        <v>36</v>
      </c>
      <c r="D17" s="17">
        <v>6</v>
      </c>
      <c r="E17" s="17">
        <v>900</v>
      </c>
      <c r="F17" s="11">
        <v>36</v>
      </c>
      <c r="G17" s="11">
        <f t="shared" si="2"/>
        <v>864</v>
      </c>
      <c r="H17" s="13">
        <v>64</v>
      </c>
      <c r="I17" s="13">
        <f>E17-H17</f>
        <v>836</v>
      </c>
      <c r="J17" s="13">
        <v>17</v>
      </c>
      <c r="K17" s="13">
        <f>E17-J17</f>
        <v>883</v>
      </c>
      <c r="L17" s="2"/>
    </row>
  </sheetData>
  <mergeCells count="29">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 ref="K6:K10"/>
    <mergeCell ref="A1:L1"/>
    <mergeCell ref="A2:L2"/>
    <mergeCell ref="A4:A5"/>
    <mergeCell ref="B4:B5"/>
    <mergeCell ref="C4:C5"/>
    <mergeCell ref="D4:D5"/>
    <mergeCell ref="E4:E5"/>
    <mergeCell ref="L4:L5"/>
    <mergeCell ref="F5:G5"/>
    <mergeCell ref="H5:I5"/>
    <mergeCell ref="J5:K5"/>
    <mergeCell ref="L6:L10"/>
  </mergeCells>
  <pageMargins left="0.31496062992125984" right="0.31496062992125984" top="0.74803149606299213" bottom="0.35433070866141736"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19"/>
  <sheetViews>
    <sheetView zoomScale="70" zoomScaleNormal="70" workbookViewId="0">
      <selection activeCell="E6" sqref="E6:E10"/>
    </sheetView>
  </sheetViews>
  <sheetFormatPr defaultRowHeight="15.75"/>
  <cols>
    <col min="1" max="1" width="5.42578125" style="1" customWidth="1"/>
    <col min="2" max="2" width="12.7109375" style="8"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8" t="s">
        <v>30</v>
      </c>
      <c r="B1" s="48"/>
      <c r="C1" s="48"/>
      <c r="D1" s="48"/>
      <c r="E1" s="48"/>
      <c r="F1" s="48"/>
      <c r="G1" s="48"/>
      <c r="H1" s="48"/>
      <c r="I1" s="48"/>
      <c r="J1" s="48"/>
      <c r="K1" s="48"/>
      <c r="L1" s="48"/>
      <c r="M1" s="48"/>
      <c r="N1" s="48"/>
    </row>
    <row r="2" spans="1:14" ht="15.75" customHeight="1">
      <c r="A2" s="48" t="s">
        <v>52</v>
      </c>
      <c r="B2" s="48"/>
      <c r="C2" s="48"/>
      <c r="D2" s="48"/>
      <c r="E2" s="48"/>
      <c r="F2" s="48"/>
      <c r="G2" s="48"/>
      <c r="H2" s="48"/>
      <c r="I2" s="48"/>
      <c r="J2" s="48"/>
      <c r="K2" s="48"/>
      <c r="L2" s="48"/>
      <c r="M2" s="48"/>
      <c r="N2" s="48"/>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7" t="s">
        <v>34</v>
      </c>
    </row>
    <row r="5" spans="1:14">
      <c r="A5" s="41"/>
      <c r="B5" s="41"/>
      <c r="C5" s="41"/>
      <c r="D5" s="41"/>
      <c r="E5" s="79" t="s">
        <v>46</v>
      </c>
      <c r="F5" s="80"/>
      <c r="G5" s="81"/>
      <c r="H5" s="79" t="s">
        <v>47</v>
      </c>
      <c r="I5" s="80"/>
      <c r="J5" s="81"/>
      <c r="K5" s="79" t="s">
        <v>48</v>
      </c>
      <c r="L5" s="80"/>
      <c r="M5" s="81"/>
      <c r="N5" s="78"/>
    </row>
    <row r="6" spans="1:14">
      <c r="A6" s="3" t="s">
        <v>0</v>
      </c>
      <c r="B6" s="4" t="s">
        <v>1</v>
      </c>
      <c r="C6" s="2" t="s">
        <v>31</v>
      </c>
      <c r="D6" s="40">
        <v>2470</v>
      </c>
      <c r="E6" s="74">
        <f>(154003+2448+2920+3059)/4200*12</f>
        <v>464.08571428571429</v>
      </c>
      <c r="F6" s="74">
        <f>$D6-E6</f>
        <v>2005.9142857142856</v>
      </c>
      <c r="G6" s="40">
        <v>0</v>
      </c>
      <c r="H6" s="74">
        <f>(138538+12+3240+3127+5397)/4200*12</f>
        <v>429.46857142857147</v>
      </c>
      <c r="I6" s="74">
        <f>$D6-H6</f>
        <v>2040.5314285714285</v>
      </c>
      <c r="J6" s="40">
        <v>0</v>
      </c>
      <c r="K6" s="74">
        <f>(128821+24+2640+2891+0)/4200*12</f>
        <v>383.93142857142857</v>
      </c>
      <c r="L6" s="74">
        <f>$D6-K6</f>
        <v>2086.0685714285714</v>
      </c>
      <c r="M6" s="40">
        <v>0</v>
      </c>
      <c r="N6" s="40" t="s">
        <v>37</v>
      </c>
    </row>
    <row r="7" spans="1:14">
      <c r="A7" s="3" t="s">
        <v>2</v>
      </c>
      <c r="B7" s="4" t="s">
        <v>3</v>
      </c>
      <c r="C7" s="2" t="s">
        <v>32</v>
      </c>
      <c r="D7" s="42"/>
      <c r="E7" s="76"/>
      <c r="F7" s="42"/>
      <c r="G7" s="42"/>
      <c r="H7" s="76"/>
      <c r="I7" s="42"/>
      <c r="J7" s="42"/>
      <c r="K7" s="76"/>
      <c r="L7" s="42"/>
      <c r="M7" s="42"/>
      <c r="N7" s="42"/>
    </row>
    <row r="8" spans="1:14">
      <c r="A8" s="3" t="s">
        <v>4</v>
      </c>
      <c r="B8" s="4" t="s">
        <v>5</v>
      </c>
      <c r="C8" s="2">
        <v>400</v>
      </c>
      <c r="D8" s="42"/>
      <c r="E8" s="76"/>
      <c r="F8" s="42"/>
      <c r="G8" s="42"/>
      <c r="H8" s="76"/>
      <c r="I8" s="42"/>
      <c r="J8" s="42"/>
      <c r="K8" s="76"/>
      <c r="L8" s="42"/>
      <c r="M8" s="42"/>
      <c r="N8" s="42"/>
    </row>
    <row r="9" spans="1:14">
      <c r="A9" s="3" t="s">
        <v>6</v>
      </c>
      <c r="B9" s="4" t="s">
        <v>7</v>
      </c>
      <c r="C9" s="2">
        <v>320</v>
      </c>
      <c r="D9" s="42"/>
      <c r="E9" s="76"/>
      <c r="F9" s="42"/>
      <c r="G9" s="42"/>
      <c r="H9" s="76"/>
      <c r="I9" s="42"/>
      <c r="J9" s="42"/>
      <c r="K9" s="76"/>
      <c r="L9" s="42"/>
      <c r="M9" s="42"/>
      <c r="N9" s="42"/>
    </row>
    <row r="10" spans="1:14">
      <c r="A10" s="3" t="s">
        <v>8</v>
      </c>
      <c r="B10" s="4" t="s">
        <v>9</v>
      </c>
      <c r="C10" s="2">
        <v>400</v>
      </c>
      <c r="D10" s="41"/>
      <c r="E10" s="75"/>
      <c r="F10" s="41"/>
      <c r="G10" s="41"/>
      <c r="H10" s="75"/>
      <c r="I10" s="41"/>
      <c r="J10" s="41"/>
      <c r="K10" s="75"/>
      <c r="L10" s="41"/>
      <c r="M10" s="41"/>
      <c r="N10" s="41"/>
    </row>
    <row r="11" spans="1:14" ht="47.25">
      <c r="A11" s="3" t="s">
        <v>10</v>
      </c>
      <c r="B11" s="4" t="s">
        <v>11</v>
      </c>
      <c r="C11" s="2" t="s">
        <v>33</v>
      </c>
      <c r="D11" s="2">
        <v>1500</v>
      </c>
      <c r="E11" s="7">
        <f>(77314+0)/4200*12</f>
        <v>220.89714285714285</v>
      </c>
      <c r="F11" s="7">
        <f>$D11-E11</f>
        <v>1279.1028571428571</v>
      </c>
      <c r="G11" s="2">
        <v>0</v>
      </c>
      <c r="H11" s="7">
        <f>71731/4200*12</f>
        <v>204.9457142857143</v>
      </c>
      <c r="I11" s="7">
        <f>$D11-H11</f>
        <v>1295.0542857142857</v>
      </c>
      <c r="J11" s="2">
        <v>0</v>
      </c>
      <c r="K11" s="7">
        <f>60988/4200*12</f>
        <v>174.25142857142856</v>
      </c>
      <c r="L11" s="7">
        <f>$D11-K11</f>
        <v>1325.7485714285715</v>
      </c>
      <c r="M11" s="2">
        <v>0</v>
      </c>
      <c r="N11" s="2" t="s">
        <v>37</v>
      </c>
    </row>
    <row r="12" spans="1:14">
      <c r="A12" s="3" t="s">
        <v>12</v>
      </c>
      <c r="B12" s="4" t="s">
        <v>13</v>
      </c>
      <c r="C12" s="2" t="s">
        <v>33</v>
      </c>
      <c r="D12" s="40">
        <v>1512</v>
      </c>
      <c r="E12" s="74">
        <f>(83428+586)/4200*12</f>
        <v>240.04000000000002</v>
      </c>
      <c r="F12" s="74">
        <f>$D12-E12</f>
        <v>1271.96</v>
      </c>
      <c r="G12" s="40">
        <v>0</v>
      </c>
      <c r="H12" s="74">
        <f>(98346+489)/4200*12</f>
        <v>282.3857142857143</v>
      </c>
      <c r="I12" s="74">
        <f>$D12-H12</f>
        <v>1229.6142857142856</v>
      </c>
      <c r="J12" s="40">
        <v>0</v>
      </c>
      <c r="K12" s="74">
        <f>(92829+630)/4200*12</f>
        <v>267.02571428571429</v>
      </c>
      <c r="L12" s="74">
        <f>$D12-K12</f>
        <v>1244.9742857142858</v>
      </c>
      <c r="M12" s="40">
        <v>0</v>
      </c>
      <c r="N12" s="40" t="s">
        <v>37</v>
      </c>
    </row>
    <row r="13" spans="1:14">
      <c r="A13" s="3" t="s">
        <v>14</v>
      </c>
      <c r="B13" s="4" t="s">
        <v>15</v>
      </c>
      <c r="C13" s="2" t="s">
        <v>33</v>
      </c>
      <c r="D13" s="41"/>
      <c r="E13" s="75"/>
      <c r="F13" s="41"/>
      <c r="G13" s="41"/>
      <c r="H13" s="75"/>
      <c r="I13" s="41"/>
      <c r="J13" s="41"/>
      <c r="K13" s="75"/>
      <c r="L13" s="41"/>
      <c r="M13" s="41"/>
      <c r="N13" s="41"/>
    </row>
    <row r="14" spans="1:14" ht="47.25">
      <c r="A14" s="3" t="s">
        <v>16</v>
      </c>
      <c r="B14" s="6" t="s">
        <v>17</v>
      </c>
      <c r="C14" s="2" t="s">
        <v>33</v>
      </c>
      <c r="D14" s="2">
        <v>450</v>
      </c>
      <c r="E14" s="7">
        <f>300238/8760*12</f>
        <v>411.28493150684938</v>
      </c>
      <c r="F14" s="7">
        <f t="shared" ref="F14:F19" si="0">$D14-E14</f>
        <v>38.715068493150625</v>
      </c>
      <c r="G14" s="2">
        <v>0</v>
      </c>
      <c r="H14" s="7">
        <f>317153/8760*12</f>
        <v>434.4561643835616</v>
      </c>
      <c r="I14" s="7">
        <f t="shared" ref="I14:I19" si="1">$D14-H14</f>
        <v>15.5438356164384</v>
      </c>
      <c r="J14" s="2">
        <v>0</v>
      </c>
      <c r="K14" s="7">
        <f>280509/8760*12</f>
        <v>384.25890410958903</v>
      </c>
      <c r="L14" s="7">
        <f t="shared" ref="L14:L19" si="2">$D14-K14</f>
        <v>65.741095890410975</v>
      </c>
      <c r="M14" s="2">
        <v>0</v>
      </c>
      <c r="N14" s="2" t="s">
        <v>37</v>
      </c>
    </row>
    <row r="15" spans="1:14" ht="47.25">
      <c r="A15" s="3">
        <v>10</v>
      </c>
      <c r="B15" s="6" t="s">
        <v>20</v>
      </c>
      <c r="C15" s="2">
        <v>400</v>
      </c>
      <c r="D15" s="2">
        <v>250</v>
      </c>
      <c r="E15" s="7">
        <f>8660/4200*12</f>
        <v>24.74285714285714</v>
      </c>
      <c r="F15" s="7">
        <f t="shared" si="0"/>
        <v>225.25714285714287</v>
      </c>
      <c r="G15" s="2">
        <v>0</v>
      </c>
      <c r="H15" s="7">
        <f>10532/4200*12</f>
        <v>30.091428571428569</v>
      </c>
      <c r="I15" s="7">
        <f t="shared" si="1"/>
        <v>219.90857142857143</v>
      </c>
      <c r="J15" s="2">
        <v>0</v>
      </c>
      <c r="K15" s="7">
        <f>8075/4200*12</f>
        <v>23.071428571428573</v>
      </c>
      <c r="L15" s="7">
        <f t="shared" si="2"/>
        <v>226.92857142857142</v>
      </c>
      <c r="M15" s="2">
        <v>0</v>
      </c>
      <c r="N15" s="2" t="s">
        <v>37</v>
      </c>
    </row>
    <row r="16" spans="1:14" ht="47.25">
      <c r="A16" s="3">
        <v>11</v>
      </c>
      <c r="B16" s="6" t="s">
        <v>21</v>
      </c>
      <c r="C16" s="2">
        <v>400</v>
      </c>
      <c r="D16" s="2">
        <v>39.1</v>
      </c>
      <c r="E16" s="7">
        <f>2880/4200*12</f>
        <v>8.2285714285714278</v>
      </c>
      <c r="F16" s="7">
        <f t="shared" si="0"/>
        <v>30.871428571428574</v>
      </c>
      <c r="G16" s="2">
        <v>199</v>
      </c>
      <c r="H16" s="7">
        <f>3440/4200*12</f>
        <v>9.8285714285714292</v>
      </c>
      <c r="I16" s="7">
        <f t="shared" si="1"/>
        <v>29.271428571428572</v>
      </c>
      <c r="J16" s="2">
        <v>199</v>
      </c>
      <c r="K16" s="7">
        <f>3200/4200*12</f>
        <v>9.1428571428571423</v>
      </c>
      <c r="L16" s="7">
        <f t="shared" si="2"/>
        <v>29.957142857142859</v>
      </c>
      <c r="M16" s="2">
        <v>199</v>
      </c>
      <c r="N16" s="2" t="s">
        <v>37</v>
      </c>
    </row>
    <row r="17" spans="1:14" ht="47.25">
      <c r="A17" s="3">
        <v>12</v>
      </c>
      <c r="B17" s="6" t="s">
        <v>23</v>
      </c>
      <c r="C17" s="2">
        <v>630</v>
      </c>
      <c r="D17" s="2">
        <v>500</v>
      </c>
      <c r="E17" s="7">
        <f>188539/8760*12</f>
        <v>258.27260273972604</v>
      </c>
      <c r="F17" s="7">
        <f t="shared" si="0"/>
        <v>241.72739726027396</v>
      </c>
      <c r="G17" s="2">
        <v>0</v>
      </c>
      <c r="H17" s="7">
        <f>192414/8760*12</f>
        <v>263.58082191780824</v>
      </c>
      <c r="I17" s="7">
        <f t="shared" si="1"/>
        <v>236.41917808219176</v>
      </c>
      <c r="J17" s="2">
        <v>0</v>
      </c>
      <c r="K17" s="7">
        <f>138794/8760*12</f>
        <v>190.12876712328767</v>
      </c>
      <c r="L17" s="7">
        <f t="shared" si="2"/>
        <v>309.87123287671233</v>
      </c>
      <c r="M17" s="2">
        <v>0</v>
      </c>
      <c r="N17" s="2" t="s">
        <v>37</v>
      </c>
    </row>
    <row r="18" spans="1:14" ht="47.25">
      <c r="A18" s="3">
        <v>13</v>
      </c>
      <c r="B18" s="6" t="s">
        <v>35</v>
      </c>
      <c r="C18" s="2" t="s">
        <v>36</v>
      </c>
      <c r="D18" s="2">
        <v>900</v>
      </c>
      <c r="E18" s="7">
        <f>(35489+1004)/4200*12</f>
        <v>104.2657142857143</v>
      </c>
      <c r="F18" s="7">
        <f t="shared" si="0"/>
        <v>795.73428571428576</v>
      </c>
      <c r="G18" s="7">
        <v>0</v>
      </c>
      <c r="H18" s="7">
        <f>(26549+2511)/4200*12</f>
        <v>83.028571428571439</v>
      </c>
      <c r="I18" s="7">
        <f t="shared" si="1"/>
        <v>816.97142857142853</v>
      </c>
      <c r="J18" s="7">
        <v>0</v>
      </c>
      <c r="K18" s="7">
        <f>(16221+2621)/4200*12</f>
        <v>53.834285714285713</v>
      </c>
      <c r="L18" s="7">
        <f t="shared" si="2"/>
        <v>846.16571428571433</v>
      </c>
      <c r="M18" s="2">
        <v>0</v>
      </c>
      <c r="N18" s="2" t="s">
        <v>37</v>
      </c>
    </row>
    <row r="19" spans="1:14" ht="47.25">
      <c r="A19" s="3">
        <v>14</v>
      </c>
      <c r="B19" s="6" t="s">
        <v>49</v>
      </c>
      <c r="C19" s="2" t="s">
        <v>50</v>
      </c>
      <c r="D19" s="2">
        <v>400</v>
      </c>
      <c r="E19" s="7">
        <f>(13968+795+2189+398)/4200*12</f>
        <v>49.571428571428577</v>
      </c>
      <c r="F19" s="7">
        <f t="shared" si="0"/>
        <v>350.42857142857144</v>
      </c>
      <c r="G19" s="7">
        <v>0</v>
      </c>
      <c r="H19" s="7">
        <f>(15616+928+1514+476)/4200*12</f>
        <v>52.954285714285717</v>
      </c>
      <c r="I19" s="7">
        <f t="shared" si="1"/>
        <v>347.04571428571427</v>
      </c>
      <c r="J19" s="7">
        <v>0</v>
      </c>
      <c r="K19" s="7">
        <f>(13515+863+1420+564)/4200*12</f>
        <v>46.748571428571431</v>
      </c>
      <c r="L19" s="7">
        <f t="shared" si="2"/>
        <v>353.25142857142856</v>
      </c>
      <c r="M19" s="2">
        <v>0</v>
      </c>
      <c r="N19" s="2" t="s">
        <v>37</v>
      </c>
    </row>
  </sheetData>
  <mergeCells count="32">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 ref="D12:D13"/>
    <mergeCell ref="E12:E13"/>
    <mergeCell ref="F12:F13"/>
    <mergeCell ref="G12:G13"/>
    <mergeCell ref="H12:H13"/>
    <mergeCell ref="N12:N13"/>
    <mergeCell ref="J6:J10"/>
    <mergeCell ref="K6:K10"/>
    <mergeCell ref="L6:L10"/>
    <mergeCell ref="M6:M10"/>
    <mergeCell ref="N6:N10"/>
    <mergeCell ref="I12:I13"/>
    <mergeCell ref="J12:J13"/>
    <mergeCell ref="K12:K13"/>
    <mergeCell ref="L12:L13"/>
    <mergeCell ref="M12:M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zoomScale="70" zoomScaleNormal="70" workbookViewId="0">
      <selection activeCell="M16" sqref="M16"/>
    </sheetView>
  </sheetViews>
  <sheetFormatPr defaultRowHeight="15.75"/>
  <cols>
    <col min="1" max="1" width="5.42578125" style="1" customWidth="1"/>
    <col min="2" max="2" width="12.7109375" style="8"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8" t="s">
        <v>30</v>
      </c>
      <c r="B1" s="48"/>
      <c r="C1" s="48"/>
      <c r="D1" s="48"/>
      <c r="E1" s="48"/>
      <c r="F1" s="48"/>
      <c r="G1" s="48"/>
      <c r="H1" s="48"/>
      <c r="I1" s="48"/>
      <c r="J1" s="48"/>
      <c r="K1" s="48"/>
      <c r="L1" s="48"/>
      <c r="M1" s="48"/>
      <c r="N1" s="48"/>
    </row>
    <row r="2" spans="1:14" ht="15.75" customHeight="1">
      <c r="A2" s="48" t="s">
        <v>51</v>
      </c>
      <c r="B2" s="48"/>
      <c r="C2" s="48"/>
      <c r="D2" s="48"/>
      <c r="E2" s="48"/>
      <c r="F2" s="48"/>
      <c r="G2" s="48"/>
      <c r="H2" s="48"/>
      <c r="I2" s="48"/>
      <c r="J2" s="48"/>
      <c r="K2" s="48"/>
      <c r="L2" s="48"/>
      <c r="M2" s="48"/>
      <c r="N2" s="48"/>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7" t="s">
        <v>34</v>
      </c>
    </row>
    <row r="5" spans="1:14">
      <c r="A5" s="41"/>
      <c r="B5" s="41"/>
      <c r="C5" s="41"/>
      <c r="D5" s="41"/>
      <c r="E5" s="79" t="s">
        <v>53</v>
      </c>
      <c r="F5" s="80"/>
      <c r="G5" s="81"/>
      <c r="H5" s="79" t="s">
        <v>54</v>
      </c>
      <c r="I5" s="80"/>
      <c r="J5" s="81"/>
      <c r="K5" s="79" t="s">
        <v>55</v>
      </c>
      <c r="L5" s="80"/>
      <c r="M5" s="81"/>
      <c r="N5" s="78"/>
    </row>
    <row r="6" spans="1:14">
      <c r="A6" s="3" t="s">
        <v>0</v>
      </c>
      <c r="B6" s="4" t="s">
        <v>1</v>
      </c>
      <c r="C6" s="2" t="s">
        <v>31</v>
      </c>
      <c r="D6" s="40">
        <v>2470</v>
      </c>
      <c r="E6" s="74">
        <f>(206706+24+2800+3300)/4200*12</f>
        <v>608.08571428571429</v>
      </c>
      <c r="F6" s="74">
        <f>$D6-E6</f>
        <v>1861.9142857142856</v>
      </c>
      <c r="G6" s="40">
        <v>0</v>
      </c>
      <c r="H6" s="74">
        <f>230757/4200*12</f>
        <v>659.3057142857142</v>
      </c>
      <c r="I6" s="74">
        <f>$D6-H6</f>
        <v>1810.6942857142858</v>
      </c>
      <c r="J6" s="40">
        <v>0</v>
      </c>
      <c r="K6" s="74">
        <f>217179/4200*12</f>
        <v>620.5114285714285</v>
      </c>
      <c r="L6" s="74">
        <f>$D6-K6</f>
        <v>1849.4885714285715</v>
      </c>
      <c r="M6" s="40">
        <v>0</v>
      </c>
      <c r="N6" s="40" t="s">
        <v>37</v>
      </c>
    </row>
    <row r="7" spans="1:14">
      <c r="A7" s="3" t="s">
        <v>2</v>
      </c>
      <c r="B7" s="4" t="s">
        <v>3</v>
      </c>
      <c r="C7" s="2" t="s">
        <v>32</v>
      </c>
      <c r="D7" s="42"/>
      <c r="E7" s="76"/>
      <c r="F7" s="42"/>
      <c r="G7" s="42"/>
      <c r="H7" s="76"/>
      <c r="I7" s="42"/>
      <c r="J7" s="42"/>
      <c r="K7" s="76"/>
      <c r="L7" s="42"/>
      <c r="M7" s="42"/>
      <c r="N7" s="42"/>
    </row>
    <row r="8" spans="1:14">
      <c r="A8" s="3" t="s">
        <v>4</v>
      </c>
      <c r="B8" s="4" t="s">
        <v>5</v>
      </c>
      <c r="C8" s="2">
        <v>400</v>
      </c>
      <c r="D8" s="42"/>
      <c r="E8" s="76"/>
      <c r="F8" s="42"/>
      <c r="G8" s="42"/>
      <c r="H8" s="76"/>
      <c r="I8" s="42"/>
      <c r="J8" s="42"/>
      <c r="K8" s="76"/>
      <c r="L8" s="42"/>
      <c r="M8" s="42"/>
      <c r="N8" s="42"/>
    </row>
    <row r="9" spans="1:14">
      <c r="A9" s="3" t="s">
        <v>6</v>
      </c>
      <c r="B9" s="4" t="s">
        <v>7</v>
      </c>
      <c r="C9" s="2">
        <v>320</v>
      </c>
      <c r="D9" s="42"/>
      <c r="E9" s="76"/>
      <c r="F9" s="42"/>
      <c r="G9" s="42"/>
      <c r="H9" s="76"/>
      <c r="I9" s="42"/>
      <c r="J9" s="42"/>
      <c r="K9" s="76"/>
      <c r="L9" s="42"/>
      <c r="M9" s="42"/>
      <c r="N9" s="42"/>
    </row>
    <row r="10" spans="1:14">
      <c r="A10" s="3" t="s">
        <v>8</v>
      </c>
      <c r="B10" s="4" t="s">
        <v>9</v>
      </c>
      <c r="C10" s="2">
        <v>400</v>
      </c>
      <c r="D10" s="41"/>
      <c r="E10" s="75"/>
      <c r="F10" s="41"/>
      <c r="G10" s="41"/>
      <c r="H10" s="75"/>
      <c r="I10" s="41"/>
      <c r="J10" s="41"/>
      <c r="K10" s="75"/>
      <c r="L10" s="41"/>
      <c r="M10" s="41"/>
      <c r="N10" s="41"/>
    </row>
    <row r="11" spans="1:14" ht="47.25">
      <c r="A11" s="3" t="s">
        <v>10</v>
      </c>
      <c r="B11" s="4" t="s">
        <v>11</v>
      </c>
      <c r="C11" s="2" t="s">
        <v>33</v>
      </c>
      <c r="D11" s="2">
        <v>1500</v>
      </c>
      <c r="E11" s="7">
        <f>74091/4200*12</f>
        <v>211.68857142857144</v>
      </c>
      <c r="F11" s="7">
        <f>$D11-E11</f>
        <v>1288.3114285714287</v>
      </c>
      <c r="G11" s="2">
        <v>0</v>
      </c>
      <c r="H11" s="7">
        <f>101192/4200*12</f>
        <v>289.12</v>
      </c>
      <c r="I11" s="7">
        <f>$D11-H11</f>
        <v>1210.8800000000001</v>
      </c>
      <c r="J11" s="2">
        <v>0</v>
      </c>
      <c r="K11" s="7">
        <f>109979/4200*12</f>
        <v>314.22571428571428</v>
      </c>
      <c r="L11" s="7">
        <f>$D11-K11</f>
        <v>1185.7742857142857</v>
      </c>
      <c r="M11" s="2">
        <v>0</v>
      </c>
      <c r="N11" s="2" t="s">
        <v>37</v>
      </c>
    </row>
    <row r="12" spans="1:14">
      <c r="A12" s="3" t="s">
        <v>12</v>
      </c>
      <c r="B12" s="4" t="s">
        <v>13</v>
      </c>
      <c r="C12" s="2" t="s">
        <v>33</v>
      </c>
      <c r="D12" s="40">
        <v>1512</v>
      </c>
      <c r="E12" s="74">
        <f>(109055+446)/4200*12</f>
        <v>312.86</v>
      </c>
      <c r="F12" s="74">
        <f>$D12-E12</f>
        <v>1199.1399999999999</v>
      </c>
      <c r="G12" s="40">
        <v>0</v>
      </c>
      <c r="H12" s="74">
        <f>105649/4200*12</f>
        <v>301.85428571428571</v>
      </c>
      <c r="I12" s="74">
        <f>$D12-H12</f>
        <v>1210.1457142857143</v>
      </c>
      <c r="J12" s="40">
        <v>0</v>
      </c>
      <c r="K12" s="74">
        <f>105585/4200*12</f>
        <v>301.67142857142858</v>
      </c>
      <c r="L12" s="74">
        <f>$D12-K12</f>
        <v>1210.3285714285714</v>
      </c>
      <c r="M12" s="40">
        <v>0</v>
      </c>
      <c r="N12" s="40" t="s">
        <v>37</v>
      </c>
    </row>
    <row r="13" spans="1:14">
      <c r="A13" s="3" t="s">
        <v>14</v>
      </c>
      <c r="B13" s="4" t="s">
        <v>15</v>
      </c>
      <c r="C13" s="2" t="s">
        <v>33</v>
      </c>
      <c r="D13" s="41"/>
      <c r="E13" s="75"/>
      <c r="F13" s="41"/>
      <c r="G13" s="41"/>
      <c r="H13" s="75"/>
      <c r="I13" s="41"/>
      <c r="J13" s="41"/>
      <c r="K13" s="75"/>
      <c r="L13" s="41"/>
      <c r="M13" s="41"/>
      <c r="N13" s="41"/>
    </row>
    <row r="14" spans="1:14" ht="47.25">
      <c r="A14" s="3" t="s">
        <v>16</v>
      </c>
      <c r="B14" s="6" t="s">
        <v>17</v>
      </c>
      <c r="C14" s="2" t="s">
        <v>33</v>
      </c>
      <c r="D14" s="2">
        <v>450</v>
      </c>
      <c r="E14" s="7">
        <f>219869/8760*12</f>
        <v>301.19041095890407</v>
      </c>
      <c r="F14" s="7">
        <f t="shared" ref="F14:F19" si="0">$D14-E14</f>
        <v>148.80958904109593</v>
      </c>
      <c r="G14" s="2">
        <v>0</v>
      </c>
      <c r="H14" s="7">
        <f>215198/8670*12</f>
        <v>297.85190311418683</v>
      </c>
      <c r="I14" s="7">
        <f t="shared" ref="I14:I19" si="1">$D14-H14</f>
        <v>152.14809688581317</v>
      </c>
      <c r="J14" s="2">
        <v>0</v>
      </c>
      <c r="K14" s="7">
        <f>215464/8670*12</f>
        <v>298.22006920415225</v>
      </c>
      <c r="L14" s="7">
        <f t="shared" ref="L14:L19" si="2">$D14-K14</f>
        <v>151.77993079584775</v>
      </c>
      <c r="M14" s="2">
        <v>0</v>
      </c>
      <c r="N14" s="2" t="s">
        <v>37</v>
      </c>
    </row>
    <row r="15" spans="1:14" ht="47.25">
      <c r="A15" s="3">
        <v>10</v>
      </c>
      <c r="B15" s="6" t="s">
        <v>20</v>
      </c>
      <c r="C15" s="2">
        <v>400</v>
      </c>
      <c r="D15" s="2">
        <v>250</v>
      </c>
      <c r="E15" s="7">
        <f>4681/4200*12</f>
        <v>13.374285714285714</v>
      </c>
      <c r="F15" s="7">
        <f t="shared" si="0"/>
        <v>236.62571428571428</v>
      </c>
      <c r="G15" s="2">
        <v>0</v>
      </c>
      <c r="H15" s="7">
        <f>4447/4200*12</f>
        <v>12.705714285714286</v>
      </c>
      <c r="I15" s="7">
        <f t="shared" si="1"/>
        <v>237.29428571428571</v>
      </c>
      <c r="J15" s="2">
        <v>0</v>
      </c>
      <c r="K15" s="7">
        <f>2809/4200*12</f>
        <v>8.0257142857142867</v>
      </c>
      <c r="L15" s="7">
        <f t="shared" si="2"/>
        <v>241.97428571428571</v>
      </c>
      <c r="M15" s="2">
        <v>0</v>
      </c>
      <c r="N15" s="2" t="s">
        <v>37</v>
      </c>
    </row>
    <row r="16" spans="1:14" ht="47.25">
      <c r="A16" s="3">
        <v>11</v>
      </c>
      <c r="B16" s="6" t="s">
        <v>21</v>
      </c>
      <c r="C16" s="2">
        <v>400</v>
      </c>
      <c r="D16" s="2">
        <v>39.1</v>
      </c>
      <c r="E16" s="7">
        <f>5200/4200*12</f>
        <v>14.857142857142858</v>
      </c>
      <c r="F16" s="7">
        <f t="shared" si="0"/>
        <v>24.242857142857144</v>
      </c>
      <c r="G16" s="2">
        <v>199</v>
      </c>
      <c r="H16" s="7">
        <f>12640/4200*12</f>
        <v>36.114285714285714</v>
      </c>
      <c r="I16" s="7">
        <f t="shared" si="1"/>
        <v>2.9857142857142875</v>
      </c>
      <c r="J16" s="2">
        <v>199</v>
      </c>
      <c r="K16" s="7">
        <f>13120/4200*12</f>
        <v>37.485714285714288</v>
      </c>
      <c r="L16" s="7">
        <f t="shared" si="2"/>
        <v>1.6142857142857139</v>
      </c>
      <c r="M16" s="2">
        <v>199</v>
      </c>
      <c r="N16" s="2" t="s">
        <v>37</v>
      </c>
    </row>
    <row r="17" spans="1:14" ht="47.25">
      <c r="A17" s="3">
        <v>12</v>
      </c>
      <c r="B17" s="6" t="s">
        <v>23</v>
      </c>
      <c r="C17" s="2">
        <v>630</v>
      </c>
      <c r="D17" s="2">
        <v>500</v>
      </c>
      <c r="E17" s="7">
        <f>161139/8760*12</f>
        <v>220.73835616438356</v>
      </c>
      <c r="F17" s="7">
        <f t="shared" si="0"/>
        <v>279.26164383561644</v>
      </c>
      <c r="G17" s="2">
        <v>0</v>
      </c>
      <c r="H17" s="7">
        <f>196692/8760*12</f>
        <v>269.44109589041096</v>
      </c>
      <c r="I17" s="7">
        <f t="shared" si="1"/>
        <v>230.55890410958904</v>
      </c>
      <c r="J17" s="2">
        <v>0</v>
      </c>
      <c r="K17" s="7">
        <f>252049/8760*12</f>
        <v>345.27260273972604</v>
      </c>
      <c r="L17" s="7">
        <f t="shared" si="2"/>
        <v>154.72739726027396</v>
      </c>
      <c r="M17" s="2">
        <v>0</v>
      </c>
      <c r="N17" s="2" t="s">
        <v>37</v>
      </c>
    </row>
    <row r="18" spans="1:14" ht="47.25">
      <c r="A18" s="3">
        <v>13</v>
      </c>
      <c r="B18" s="6" t="s">
        <v>35</v>
      </c>
      <c r="C18" s="2" t="s">
        <v>36</v>
      </c>
      <c r="D18" s="2">
        <v>900</v>
      </c>
      <c r="E18" s="7">
        <f>(18424+2511)/4200*12</f>
        <v>59.81428571428571</v>
      </c>
      <c r="F18" s="7">
        <f t="shared" si="0"/>
        <v>840.18571428571431</v>
      </c>
      <c r="G18" s="7">
        <v>0</v>
      </c>
      <c r="H18" s="7">
        <f>42869/4200*12</f>
        <v>122.48285714285714</v>
      </c>
      <c r="I18" s="7">
        <f t="shared" si="1"/>
        <v>777.51714285714286</v>
      </c>
      <c r="J18" s="7">
        <v>0</v>
      </c>
      <c r="K18" s="7">
        <f>19374/4200*12</f>
        <v>55.354285714285716</v>
      </c>
      <c r="L18" s="7">
        <f t="shared" si="2"/>
        <v>844.64571428571423</v>
      </c>
      <c r="M18" s="2">
        <v>0</v>
      </c>
      <c r="N18" s="2" t="s">
        <v>37</v>
      </c>
    </row>
    <row r="19" spans="1:14" ht="47.25">
      <c r="A19" s="3">
        <v>14</v>
      </c>
      <c r="B19" s="6" t="s">
        <v>49</v>
      </c>
      <c r="C19" s="2" t="s">
        <v>50</v>
      </c>
      <c r="D19" s="2">
        <v>400</v>
      </c>
      <c r="E19" s="7">
        <f>(15834+1504+2010+4741)/4200*12</f>
        <v>68.825714285714284</v>
      </c>
      <c r="F19" s="7">
        <f t="shared" si="0"/>
        <v>331.1742857142857</v>
      </c>
      <c r="G19" s="7">
        <v>0</v>
      </c>
      <c r="H19" s="7">
        <f>25249/4200*12</f>
        <v>72.14</v>
      </c>
      <c r="I19" s="7">
        <f t="shared" si="1"/>
        <v>327.86</v>
      </c>
      <c r="J19" s="7">
        <v>0</v>
      </c>
      <c r="K19" s="7">
        <f>33155/4200*12</f>
        <v>94.728571428571428</v>
      </c>
      <c r="L19" s="7">
        <f t="shared" si="2"/>
        <v>305.2714285714286</v>
      </c>
      <c r="M19" s="2">
        <v>0</v>
      </c>
      <c r="N19" s="2" t="s">
        <v>37</v>
      </c>
    </row>
  </sheetData>
  <mergeCells count="32">
    <mergeCell ref="I12:I13"/>
    <mergeCell ref="J12:J13"/>
    <mergeCell ref="K12:K13"/>
    <mergeCell ref="L12:L13"/>
    <mergeCell ref="M12:M13"/>
    <mergeCell ref="N12:N13"/>
    <mergeCell ref="J6:J10"/>
    <mergeCell ref="K6:K10"/>
    <mergeCell ref="L6:L10"/>
    <mergeCell ref="M6:M10"/>
    <mergeCell ref="N6:N10"/>
    <mergeCell ref="D12:D13"/>
    <mergeCell ref="E12:E13"/>
    <mergeCell ref="F12:F13"/>
    <mergeCell ref="G12:G13"/>
    <mergeCell ref="H12:H13"/>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59"/>
  <sheetViews>
    <sheetView view="pageBreakPreview" topLeftCell="A3" zoomScale="115" zoomScaleNormal="80" zoomScaleSheetLayoutView="115" workbookViewId="0">
      <selection activeCell="M56" sqref="M56"/>
    </sheetView>
  </sheetViews>
  <sheetFormatPr defaultRowHeight="15.75"/>
  <cols>
    <col min="1" max="1" width="4.5703125" style="1" customWidth="1"/>
    <col min="2" max="2" width="12.140625" style="8" customWidth="1"/>
    <col min="3" max="3" width="19" style="31" customWidth="1"/>
    <col min="4" max="4" width="16.140625" style="1" customWidth="1"/>
    <col min="5" max="5" width="9.5703125" style="1" customWidth="1"/>
    <col min="6" max="6" width="12.5703125" style="1" customWidth="1"/>
    <col min="7" max="12" width="16.7109375" style="1" customWidth="1"/>
    <col min="13" max="13" width="13.140625" style="1" bestFit="1" customWidth="1"/>
    <col min="14" max="16384" width="9.140625" style="1"/>
  </cols>
  <sheetData>
    <row r="1" spans="1:16" ht="15.75" customHeight="1">
      <c r="A1" s="48" t="s">
        <v>30</v>
      </c>
      <c r="B1" s="48"/>
      <c r="C1" s="48"/>
      <c r="D1" s="48"/>
      <c r="E1" s="48"/>
      <c r="F1" s="48"/>
      <c r="G1" s="48"/>
      <c r="H1" s="48"/>
      <c r="I1" s="48"/>
      <c r="J1" s="48"/>
      <c r="K1" s="48"/>
      <c r="L1" s="48"/>
    </row>
    <row r="2" spans="1:16" ht="15.75" customHeight="1">
      <c r="A2" s="48" t="s">
        <v>82</v>
      </c>
      <c r="B2" s="48"/>
      <c r="C2" s="48"/>
      <c r="D2" s="48"/>
      <c r="E2" s="48"/>
      <c r="F2" s="48"/>
      <c r="G2" s="48"/>
      <c r="H2" s="48"/>
      <c r="I2" s="48"/>
      <c r="J2" s="48"/>
      <c r="K2" s="48"/>
      <c r="L2" s="48"/>
    </row>
    <row r="4" spans="1:16" ht="63">
      <c r="A4" s="14" t="s">
        <v>24</v>
      </c>
      <c r="B4" s="23" t="s">
        <v>25</v>
      </c>
      <c r="C4" s="24"/>
      <c r="D4" s="23" t="s">
        <v>26</v>
      </c>
      <c r="E4" s="23" t="s">
        <v>56</v>
      </c>
      <c r="F4" s="23" t="s">
        <v>27</v>
      </c>
      <c r="G4" s="2" t="s">
        <v>28</v>
      </c>
      <c r="H4" s="2" t="s">
        <v>29</v>
      </c>
      <c r="I4" s="2" t="s">
        <v>28</v>
      </c>
      <c r="J4" s="2" t="s">
        <v>29</v>
      </c>
      <c r="K4" s="2" t="s">
        <v>28</v>
      </c>
      <c r="L4" s="26" t="s">
        <v>29</v>
      </c>
      <c r="M4" s="32" t="s">
        <v>89</v>
      </c>
      <c r="N4" s="32" t="s">
        <v>90</v>
      </c>
      <c r="O4" s="32" t="s">
        <v>91</v>
      </c>
      <c r="P4" s="32" t="s">
        <v>92</v>
      </c>
    </row>
    <row r="5" spans="1:16">
      <c r="A5" s="87" t="s">
        <v>64</v>
      </c>
      <c r="B5" s="88"/>
      <c r="C5" s="88"/>
      <c r="D5" s="88"/>
      <c r="E5" s="88"/>
      <c r="F5" s="88"/>
      <c r="G5" s="88"/>
      <c r="H5" s="88"/>
      <c r="I5" s="88"/>
      <c r="J5" s="88"/>
      <c r="K5" s="88"/>
      <c r="L5" s="88"/>
      <c r="M5" s="32"/>
      <c r="N5" s="32"/>
      <c r="O5" s="32"/>
      <c r="P5" s="32"/>
    </row>
    <row r="6" spans="1:16">
      <c r="A6" s="15"/>
      <c r="B6" s="15"/>
      <c r="C6" s="25"/>
      <c r="D6" s="15"/>
      <c r="E6" s="16"/>
      <c r="F6" s="16"/>
      <c r="G6" s="85" t="s">
        <v>43</v>
      </c>
      <c r="H6" s="86"/>
      <c r="I6" s="52" t="s">
        <v>44</v>
      </c>
      <c r="J6" s="53"/>
      <c r="K6" s="94" t="s">
        <v>45</v>
      </c>
      <c r="L6" s="95"/>
      <c r="M6" s="32"/>
      <c r="N6" s="32"/>
      <c r="O6" s="32"/>
      <c r="P6" s="32"/>
    </row>
    <row r="7" spans="1:16">
      <c r="A7" s="3" t="s">
        <v>0</v>
      </c>
      <c r="B7" s="4" t="s">
        <v>1</v>
      </c>
      <c r="C7" s="28"/>
      <c r="D7" s="2" t="s">
        <v>31</v>
      </c>
      <c r="E7" s="40">
        <v>6</v>
      </c>
      <c r="F7" s="46">
        <v>2470</v>
      </c>
      <c r="G7" s="43">
        <v>519</v>
      </c>
      <c r="H7" s="43">
        <f>F7-G7</f>
        <v>1951</v>
      </c>
      <c r="I7" s="56">
        <v>454</v>
      </c>
      <c r="J7" s="56">
        <f>$F7-I7</f>
        <v>2016</v>
      </c>
      <c r="K7" s="56">
        <v>508</v>
      </c>
      <c r="L7" s="82">
        <f>F7-K7</f>
        <v>1962</v>
      </c>
      <c r="M7" s="32"/>
      <c r="N7" s="32"/>
      <c r="O7" s="32"/>
      <c r="P7" s="32"/>
    </row>
    <row r="8" spans="1:16">
      <c r="A8" s="3" t="s">
        <v>2</v>
      </c>
      <c r="B8" s="4" t="s">
        <v>3</v>
      </c>
      <c r="C8" s="28"/>
      <c r="D8" s="2" t="s">
        <v>32</v>
      </c>
      <c r="E8" s="42"/>
      <c r="F8" s="47"/>
      <c r="G8" s="49"/>
      <c r="H8" s="47">
        <f t="shared" ref="H8:H11" si="0">F8-G8</f>
        <v>0</v>
      </c>
      <c r="I8" s="60"/>
      <c r="J8" s="57" t="e">
        <f>#REF!-I8</f>
        <v>#REF!</v>
      </c>
      <c r="K8" s="60"/>
      <c r="L8" s="83" t="e">
        <f>#REF!-K8</f>
        <v>#REF!</v>
      </c>
      <c r="M8" s="32"/>
      <c r="N8" s="32"/>
      <c r="O8" s="32"/>
      <c r="P8" s="32"/>
    </row>
    <row r="9" spans="1:16">
      <c r="A9" s="3" t="s">
        <v>4</v>
      </c>
      <c r="B9" s="4" t="s">
        <v>5</v>
      </c>
      <c r="C9" s="28"/>
      <c r="D9" s="2">
        <v>400</v>
      </c>
      <c r="E9" s="42"/>
      <c r="F9" s="47"/>
      <c r="G9" s="49"/>
      <c r="H9" s="47">
        <f t="shared" si="0"/>
        <v>0</v>
      </c>
      <c r="I9" s="60"/>
      <c r="J9" s="57" t="e">
        <f>#REF!-I9</f>
        <v>#REF!</v>
      </c>
      <c r="K9" s="60"/>
      <c r="L9" s="83" t="e">
        <f>#REF!-K9</f>
        <v>#REF!</v>
      </c>
      <c r="M9" s="32"/>
      <c r="N9" s="32"/>
      <c r="O9" s="32"/>
      <c r="P9" s="32"/>
    </row>
    <row r="10" spans="1:16">
      <c r="A10" s="3" t="s">
        <v>6</v>
      </c>
      <c r="B10" s="4" t="s">
        <v>7</v>
      </c>
      <c r="C10" s="28"/>
      <c r="D10" s="2">
        <v>400</v>
      </c>
      <c r="E10" s="42"/>
      <c r="F10" s="47"/>
      <c r="G10" s="49"/>
      <c r="H10" s="47">
        <f t="shared" si="0"/>
        <v>0</v>
      </c>
      <c r="I10" s="60"/>
      <c r="J10" s="57" t="e">
        <f>#REF!-I10</f>
        <v>#REF!</v>
      </c>
      <c r="K10" s="60"/>
      <c r="L10" s="83" t="e">
        <f>#REF!-K10</f>
        <v>#REF!</v>
      </c>
      <c r="M10" s="32"/>
      <c r="N10" s="32"/>
      <c r="O10" s="32"/>
      <c r="P10" s="32"/>
    </row>
    <row r="11" spans="1:16">
      <c r="A11" s="3" t="s">
        <v>8</v>
      </c>
      <c r="B11" s="4" t="s">
        <v>9</v>
      </c>
      <c r="C11" s="28"/>
      <c r="D11" s="2">
        <v>320</v>
      </c>
      <c r="E11" s="41"/>
      <c r="F11" s="45"/>
      <c r="G11" s="44"/>
      <c r="H11" s="45">
        <f t="shared" si="0"/>
        <v>0</v>
      </c>
      <c r="I11" s="59"/>
      <c r="J11" s="58" t="e">
        <f>#REF!-I11</f>
        <v>#REF!</v>
      </c>
      <c r="K11" s="59"/>
      <c r="L11" s="84" t="e">
        <f>#REF!-K11</f>
        <v>#REF!</v>
      </c>
      <c r="M11" s="32"/>
      <c r="N11" s="32"/>
      <c r="O11" s="32"/>
      <c r="P11" s="32"/>
    </row>
    <row r="12" spans="1:16" ht="31.5">
      <c r="A12" s="3" t="s">
        <v>10</v>
      </c>
      <c r="B12" s="27" t="s">
        <v>60</v>
      </c>
      <c r="C12" s="28" t="s">
        <v>83</v>
      </c>
      <c r="D12" s="2" t="s">
        <v>61</v>
      </c>
      <c r="E12" s="2">
        <v>6</v>
      </c>
      <c r="F12" s="9">
        <v>1500</v>
      </c>
      <c r="G12" s="10">
        <v>761</v>
      </c>
      <c r="H12" s="10">
        <f>F12-G12</f>
        <v>739</v>
      </c>
      <c r="I12" s="12">
        <v>511</v>
      </c>
      <c r="J12" s="12">
        <f t="shared" ref="J12" si="1">$F12-I12</f>
        <v>989</v>
      </c>
      <c r="K12" s="12">
        <v>548</v>
      </c>
      <c r="L12" s="35">
        <f>F12-K12</f>
        <v>952</v>
      </c>
      <c r="M12" s="32"/>
      <c r="N12" s="32"/>
      <c r="O12" s="32"/>
      <c r="P12" s="32"/>
    </row>
    <row r="13" spans="1:16">
      <c r="A13" s="3" t="s">
        <v>12</v>
      </c>
      <c r="B13" s="27" t="s">
        <v>13</v>
      </c>
      <c r="C13" s="101" t="s">
        <v>83</v>
      </c>
      <c r="D13" s="2" t="s">
        <v>33</v>
      </c>
      <c r="E13" s="40">
        <v>10</v>
      </c>
      <c r="F13" s="46">
        <v>1512</v>
      </c>
      <c r="G13" s="43">
        <v>534</v>
      </c>
      <c r="H13" s="43">
        <f>F13-G13</f>
        <v>978</v>
      </c>
      <c r="I13" s="56">
        <v>377</v>
      </c>
      <c r="J13" s="56">
        <f>F13-I13</f>
        <v>1135</v>
      </c>
      <c r="K13" s="56">
        <v>544</v>
      </c>
      <c r="L13" s="82">
        <f>F13-K13</f>
        <v>968</v>
      </c>
      <c r="M13" s="32"/>
      <c r="N13" s="32"/>
      <c r="O13" s="32"/>
      <c r="P13" s="32"/>
    </row>
    <row r="14" spans="1:16">
      <c r="A14" s="3" t="s">
        <v>14</v>
      </c>
      <c r="B14" s="27" t="s">
        <v>15</v>
      </c>
      <c r="C14" s="102"/>
      <c r="D14" s="2" t="s">
        <v>33</v>
      </c>
      <c r="E14" s="41"/>
      <c r="F14" s="45"/>
      <c r="G14" s="44"/>
      <c r="H14" s="45"/>
      <c r="I14" s="59"/>
      <c r="J14" s="59" t="e">
        <f>#REF!-I14</f>
        <v>#REF!</v>
      </c>
      <c r="K14" s="59"/>
      <c r="L14" s="84" t="e">
        <f>#REF!-K14</f>
        <v>#REF!</v>
      </c>
      <c r="M14" s="32"/>
      <c r="N14" s="32"/>
      <c r="O14" s="32"/>
      <c r="P14" s="32"/>
    </row>
    <row r="15" spans="1:16" ht="31.5">
      <c r="A15" s="3" t="s">
        <v>16</v>
      </c>
      <c r="B15" s="27" t="s">
        <v>35</v>
      </c>
      <c r="C15" s="3" t="s">
        <v>85</v>
      </c>
      <c r="D15" s="2" t="s">
        <v>36</v>
      </c>
      <c r="E15" s="2">
        <v>6</v>
      </c>
      <c r="F15" s="9">
        <v>900</v>
      </c>
      <c r="G15" s="10">
        <v>0</v>
      </c>
      <c r="H15" s="10">
        <f t="shared" ref="H15:H16" si="2">F15-G15</f>
        <v>900</v>
      </c>
      <c r="I15" s="12">
        <v>0</v>
      </c>
      <c r="J15" s="12">
        <f>F15-I15</f>
        <v>900</v>
      </c>
      <c r="K15" s="12">
        <v>0</v>
      </c>
      <c r="L15" s="35">
        <f>F15-K15</f>
        <v>900</v>
      </c>
      <c r="M15" s="32"/>
      <c r="N15" s="32"/>
      <c r="O15" s="32"/>
      <c r="P15" s="32"/>
    </row>
    <row r="16" spans="1:16" ht="47.25">
      <c r="A16" s="3" t="s">
        <v>18</v>
      </c>
      <c r="B16" s="6" t="s">
        <v>79</v>
      </c>
      <c r="C16" s="3" t="s">
        <v>84</v>
      </c>
      <c r="D16" s="2" t="s">
        <v>80</v>
      </c>
      <c r="E16" s="2">
        <v>35</v>
      </c>
      <c r="F16" s="9">
        <v>1600</v>
      </c>
      <c r="G16" s="10">
        <v>142</v>
      </c>
      <c r="H16" s="10">
        <f t="shared" si="2"/>
        <v>1458</v>
      </c>
      <c r="I16" s="10">
        <v>150</v>
      </c>
      <c r="J16" s="12">
        <f>F16-I16</f>
        <v>1450</v>
      </c>
      <c r="K16" s="10">
        <v>179</v>
      </c>
      <c r="L16" s="35">
        <f>F16-K16</f>
        <v>1421</v>
      </c>
      <c r="M16" s="32"/>
      <c r="N16" s="32"/>
      <c r="O16" s="32"/>
      <c r="P16" s="32"/>
    </row>
    <row r="17" spans="1:16" ht="28.5" hidden="1">
      <c r="A17" s="3"/>
      <c r="B17" s="6" t="s">
        <v>77</v>
      </c>
      <c r="C17" s="3"/>
      <c r="D17" s="2" t="s">
        <v>78</v>
      </c>
      <c r="E17" s="2"/>
      <c r="F17" s="9"/>
      <c r="G17" s="10"/>
      <c r="H17" s="10"/>
      <c r="I17" s="12"/>
      <c r="J17" s="12"/>
      <c r="K17" s="12"/>
      <c r="L17" s="35"/>
      <c r="M17" s="32"/>
      <c r="N17" s="32"/>
      <c r="O17" s="32"/>
      <c r="P17" s="32"/>
    </row>
    <row r="18" spans="1:16" hidden="1">
      <c r="A18" s="89" t="s">
        <v>65</v>
      </c>
      <c r="B18" s="90"/>
      <c r="C18" s="90"/>
      <c r="D18" s="90"/>
      <c r="E18" s="90"/>
      <c r="F18" s="90"/>
      <c r="G18" s="90"/>
      <c r="H18" s="90"/>
      <c r="I18" s="90"/>
      <c r="J18" s="90"/>
      <c r="K18" s="90"/>
      <c r="L18" s="90"/>
      <c r="M18" s="32"/>
      <c r="N18" s="32"/>
      <c r="O18" s="32"/>
      <c r="P18" s="32"/>
    </row>
    <row r="19" spans="1:16" s="18" customFormat="1" hidden="1">
      <c r="A19" s="54"/>
      <c r="B19" s="55"/>
      <c r="C19" s="55"/>
      <c r="D19" s="55"/>
      <c r="E19" s="55"/>
      <c r="F19" s="99"/>
      <c r="G19" s="91" t="s">
        <v>66</v>
      </c>
      <c r="H19" s="91"/>
      <c r="I19" s="92" t="s">
        <v>67</v>
      </c>
      <c r="J19" s="92"/>
      <c r="K19" s="93" t="s">
        <v>68</v>
      </c>
      <c r="L19" s="94"/>
      <c r="M19" s="39"/>
      <c r="N19" s="39"/>
      <c r="O19" s="39"/>
      <c r="P19" s="39"/>
    </row>
    <row r="20" spans="1:16" hidden="1">
      <c r="A20" s="21" t="s">
        <v>0</v>
      </c>
      <c r="B20" s="22" t="s">
        <v>1</v>
      </c>
      <c r="C20" s="29"/>
      <c r="D20" s="15" t="s">
        <v>31</v>
      </c>
      <c r="E20" s="42">
        <v>6</v>
      </c>
      <c r="F20" s="47">
        <v>2470</v>
      </c>
      <c r="G20" s="49"/>
      <c r="H20" s="49">
        <f>F20-G20</f>
        <v>2470</v>
      </c>
      <c r="I20" s="49"/>
      <c r="J20" s="49">
        <f>F20-I20</f>
        <v>2470</v>
      </c>
      <c r="K20" s="49"/>
      <c r="L20" s="100">
        <f>F20-K20</f>
        <v>2470</v>
      </c>
      <c r="M20" s="32"/>
      <c r="N20" s="32"/>
      <c r="O20" s="32"/>
      <c r="P20" s="32"/>
    </row>
    <row r="21" spans="1:16" hidden="1">
      <c r="A21" s="3" t="s">
        <v>2</v>
      </c>
      <c r="B21" s="4" t="s">
        <v>3</v>
      </c>
      <c r="C21" s="28"/>
      <c r="D21" s="2" t="s">
        <v>32</v>
      </c>
      <c r="E21" s="42"/>
      <c r="F21" s="47"/>
      <c r="G21" s="49"/>
      <c r="H21" s="47">
        <f t="shared" ref="H21:H24" si="3">F21-G21</f>
        <v>0</v>
      </c>
      <c r="I21" s="49"/>
      <c r="J21" s="47">
        <f t="shared" ref="J21:J24" si="4">H21-I21</f>
        <v>0</v>
      </c>
      <c r="K21" s="49"/>
      <c r="L21" s="97">
        <f t="shared" ref="L21:L24" si="5">J21-K21</f>
        <v>0</v>
      </c>
      <c r="M21" s="32"/>
      <c r="N21" s="32"/>
      <c r="O21" s="32"/>
      <c r="P21" s="32"/>
    </row>
    <row r="22" spans="1:16" hidden="1">
      <c r="A22" s="3" t="s">
        <v>4</v>
      </c>
      <c r="B22" s="4" t="s">
        <v>5</v>
      </c>
      <c r="C22" s="28"/>
      <c r="D22" s="2">
        <v>400</v>
      </c>
      <c r="E22" s="42"/>
      <c r="F22" s="47"/>
      <c r="G22" s="49"/>
      <c r="H22" s="47">
        <f t="shared" si="3"/>
        <v>0</v>
      </c>
      <c r="I22" s="49"/>
      <c r="J22" s="47">
        <f t="shared" si="4"/>
        <v>0</v>
      </c>
      <c r="K22" s="49"/>
      <c r="L22" s="97">
        <f t="shared" si="5"/>
        <v>0</v>
      </c>
      <c r="M22" s="32"/>
      <c r="N22" s="32"/>
      <c r="O22" s="32"/>
      <c r="P22" s="32"/>
    </row>
    <row r="23" spans="1:16" hidden="1">
      <c r="A23" s="3" t="s">
        <v>6</v>
      </c>
      <c r="B23" s="4" t="s">
        <v>7</v>
      </c>
      <c r="C23" s="28"/>
      <c r="D23" s="2">
        <v>400</v>
      </c>
      <c r="E23" s="42"/>
      <c r="F23" s="47"/>
      <c r="G23" s="49"/>
      <c r="H23" s="47">
        <f t="shared" si="3"/>
        <v>0</v>
      </c>
      <c r="I23" s="49"/>
      <c r="J23" s="47">
        <f t="shared" si="4"/>
        <v>0</v>
      </c>
      <c r="K23" s="49"/>
      <c r="L23" s="97">
        <f t="shared" si="5"/>
        <v>0</v>
      </c>
      <c r="M23" s="32"/>
      <c r="N23" s="32"/>
      <c r="O23" s="32"/>
      <c r="P23" s="32"/>
    </row>
    <row r="24" spans="1:16" hidden="1">
      <c r="A24" s="3" t="s">
        <v>8</v>
      </c>
      <c r="B24" s="4" t="s">
        <v>9</v>
      </c>
      <c r="C24" s="28"/>
      <c r="D24" s="2">
        <v>320</v>
      </c>
      <c r="E24" s="41"/>
      <c r="F24" s="45"/>
      <c r="G24" s="44"/>
      <c r="H24" s="45">
        <f t="shared" si="3"/>
        <v>0</v>
      </c>
      <c r="I24" s="44"/>
      <c r="J24" s="45">
        <f t="shared" si="4"/>
        <v>0</v>
      </c>
      <c r="K24" s="44"/>
      <c r="L24" s="98">
        <f t="shared" si="5"/>
        <v>0</v>
      </c>
      <c r="M24" s="32"/>
      <c r="N24" s="32"/>
      <c r="O24" s="32"/>
      <c r="P24" s="32"/>
    </row>
    <row r="25" spans="1:16" ht="31.5" hidden="1">
      <c r="A25" s="3" t="s">
        <v>10</v>
      </c>
      <c r="B25" s="4" t="s">
        <v>60</v>
      </c>
      <c r="C25" s="28"/>
      <c r="D25" s="2" t="s">
        <v>61</v>
      </c>
      <c r="E25" s="2">
        <v>6</v>
      </c>
      <c r="F25" s="9">
        <v>1500</v>
      </c>
      <c r="G25" s="10"/>
      <c r="H25" s="10">
        <f>F25-G25</f>
        <v>1500</v>
      </c>
      <c r="I25" s="10"/>
      <c r="J25" s="10">
        <f>F25-I25</f>
        <v>1500</v>
      </c>
      <c r="K25" s="10"/>
      <c r="L25" s="36">
        <f>F25-K25</f>
        <v>1500</v>
      </c>
      <c r="M25" s="32"/>
      <c r="N25" s="32"/>
      <c r="O25" s="32"/>
      <c r="P25" s="32"/>
    </row>
    <row r="26" spans="1:16" hidden="1">
      <c r="A26" s="3" t="s">
        <v>12</v>
      </c>
      <c r="B26" s="4" t="s">
        <v>13</v>
      </c>
      <c r="C26" s="28"/>
      <c r="D26" s="2" t="s">
        <v>33</v>
      </c>
      <c r="E26" s="40">
        <v>10</v>
      </c>
      <c r="F26" s="46">
        <v>1512</v>
      </c>
      <c r="G26" s="43"/>
      <c r="H26" s="43">
        <f>F26-G26</f>
        <v>1512</v>
      </c>
      <c r="I26" s="43"/>
      <c r="J26" s="43">
        <f>F26-I26</f>
        <v>1512</v>
      </c>
      <c r="K26" s="43"/>
      <c r="L26" s="96">
        <f>F26-K26</f>
        <v>1512</v>
      </c>
      <c r="M26" s="32"/>
      <c r="N26" s="32"/>
      <c r="O26" s="32"/>
      <c r="P26" s="32"/>
    </row>
    <row r="27" spans="1:16" hidden="1">
      <c r="A27" s="3" t="s">
        <v>14</v>
      </c>
      <c r="B27" s="4" t="s">
        <v>15</v>
      </c>
      <c r="C27" s="28"/>
      <c r="D27" s="2" t="s">
        <v>33</v>
      </c>
      <c r="E27" s="41"/>
      <c r="F27" s="45"/>
      <c r="G27" s="44"/>
      <c r="H27" s="45"/>
      <c r="I27" s="44"/>
      <c r="J27" s="45"/>
      <c r="K27" s="44"/>
      <c r="L27" s="98"/>
      <c r="M27" s="32"/>
      <c r="N27" s="32"/>
      <c r="O27" s="32"/>
      <c r="P27" s="32"/>
    </row>
    <row r="28" spans="1:16" ht="31.5" hidden="1">
      <c r="A28" s="3">
        <v>9</v>
      </c>
      <c r="B28" s="6" t="s">
        <v>35</v>
      </c>
      <c r="C28" s="3"/>
      <c r="D28" s="2" t="s">
        <v>36</v>
      </c>
      <c r="E28" s="2">
        <v>6</v>
      </c>
      <c r="F28" s="9">
        <v>900</v>
      </c>
      <c r="G28" s="10"/>
      <c r="H28" s="10">
        <f t="shared" ref="H28:H29" si="6">F28-G28</f>
        <v>900</v>
      </c>
      <c r="I28" s="10"/>
      <c r="J28" s="10">
        <f>F28-I28</f>
        <v>900</v>
      </c>
      <c r="K28" s="10"/>
      <c r="L28" s="36">
        <f>F28-K28</f>
        <v>900</v>
      </c>
      <c r="M28" s="32"/>
      <c r="N28" s="32"/>
      <c r="O28" s="32"/>
      <c r="P28" s="32"/>
    </row>
    <row r="29" spans="1:16" ht="47.25" hidden="1">
      <c r="A29" s="3" t="s">
        <v>18</v>
      </c>
      <c r="B29" s="6" t="s">
        <v>79</v>
      </c>
      <c r="C29" s="3"/>
      <c r="D29" s="2" t="s">
        <v>80</v>
      </c>
      <c r="E29" s="2">
        <v>35</v>
      </c>
      <c r="F29" s="9">
        <v>1600</v>
      </c>
      <c r="G29" s="10"/>
      <c r="H29" s="10">
        <f t="shared" si="6"/>
        <v>1600</v>
      </c>
      <c r="I29" s="10"/>
      <c r="J29" s="12">
        <f>F29-I29</f>
        <v>1600</v>
      </c>
      <c r="K29" s="10"/>
      <c r="L29" s="35">
        <f>F29-K29</f>
        <v>1600</v>
      </c>
      <c r="M29" s="32"/>
      <c r="N29" s="32"/>
      <c r="O29" s="32"/>
      <c r="P29" s="32"/>
    </row>
    <row r="30" spans="1:16" hidden="1">
      <c r="A30" s="87" t="s">
        <v>69</v>
      </c>
      <c r="B30" s="88"/>
      <c r="C30" s="88"/>
      <c r="D30" s="88"/>
      <c r="E30" s="88"/>
      <c r="F30" s="88"/>
      <c r="G30" s="88"/>
      <c r="H30" s="88"/>
      <c r="I30" s="88"/>
      <c r="J30" s="88"/>
      <c r="K30" s="88"/>
      <c r="L30" s="88"/>
      <c r="M30" s="32"/>
      <c r="N30" s="32"/>
      <c r="O30" s="32"/>
      <c r="P30" s="32"/>
    </row>
    <row r="31" spans="1:16" hidden="1">
      <c r="A31" s="19"/>
      <c r="B31" s="20"/>
      <c r="C31" s="30"/>
      <c r="D31" s="20"/>
      <c r="E31" s="20"/>
      <c r="F31" s="20"/>
      <c r="G31" s="85" t="s">
        <v>70</v>
      </c>
      <c r="H31" s="86"/>
      <c r="I31" s="52" t="s">
        <v>71</v>
      </c>
      <c r="J31" s="53"/>
      <c r="K31" s="94" t="s">
        <v>72</v>
      </c>
      <c r="L31" s="95"/>
      <c r="M31" s="32"/>
      <c r="N31" s="32"/>
      <c r="O31" s="32"/>
      <c r="P31" s="32"/>
    </row>
    <row r="32" spans="1:16" hidden="1">
      <c r="A32" s="3" t="s">
        <v>0</v>
      </c>
      <c r="B32" s="4" t="s">
        <v>1</v>
      </c>
      <c r="C32" s="28"/>
      <c r="D32" s="2" t="s">
        <v>31</v>
      </c>
      <c r="E32" s="40">
        <v>6</v>
      </c>
      <c r="F32" s="46">
        <v>2470</v>
      </c>
      <c r="G32" s="43"/>
      <c r="H32" s="43">
        <f>F32-G32</f>
        <v>2470</v>
      </c>
      <c r="I32" s="43"/>
      <c r="J32" s="43">
        <f>F32-I32</f>
        <v>2470</v>
      </c>
      <c r="K32" s="43"/>
      <c r="L32" s="96">
        <f>F32-K32</f>
        <v>2470</v>
      </c>
      <c r="M32" s="32"/>
      <c r="N32" s="32"/>
      <c r="O32" s="32"/>
      <c r="P32" s="32"/>
    </row>
    <row r="33" spans="1:16" hidden="1">
      <c r="A33" s="3" t="s">
        <v>2</v>
      </c>
      <c r="B33" s="4" t="s">
        <v>3</v>
      </c>
      <c r="C33" s="28"/>
      <c r="D33" s="2" t="s">
        <v>32</v>
      </c>
      <c r="E33" s="42"/>
      <c r="F33" s="47"/>
      <c r="G33" s="49"/>
      <c r="H33" s="47">
        <f t="shared" ref="H33:L36" si="7">F33-G33</f>
        <v>0</v>
      </c>
      <c r="I33" s="49"/>
      <c r="J33" s="47">
        <f t="shared" si="7"/>
        <v>0</v>
      </c>
      <c r="K33" s="49"/>
      <c r="L33" s="97">
        <f t="shared" si="7"/>
        <v>0</v>
      </c>
      <c r="M33" s="32"/>
      <c r="N33" s="32"/>
      <c r="O33" s="32"/>
      <c r="P33" s="32"/>
    </row>
    <row r="34" spans="1:16" hidden="1">
      <c r="A34" s="3" t="s">
        <v>4</v>
      </c>
      <c r="B34" s="4" t="s">
        <v>5</v>
      </c>
      <c r="C34" s="28"/>
      <c r="D34" s="2">
        <v>400</v>
      </c>
      <c r="E34" s="42"/>
      <c r="F34" s="47"/>
      <c r="G34" s="49"/>
      <c r="H34" s="47">
        <f t="shared" si="7"/>
        <v>0</v>
      </c>
      <c r="I34" s="49"/>
      <c r="J34" s="47">
        <f t="shared" si="7"/>
        <v>0</v>
      </c>
      <c r="K34" s="49"/>
      <c r="L34" s="97">
        <f t="shared" si="7"/>
        <v>0</v>
      </c>
      <c r="M34" s="32"/>
      <c r="N34" s="32"/>
      <c r="O34" s="32"/>
      <c r="P34" s="32"/>
    </row>
    <row r="35" spans="1:16" hidden="1">
      <c r="A35" s="3" t="s">
        <v>6</v>
      </c>
      <c r="B35" s="4" t="s">
        <v>7</v>
      </c>
      <c r="C35" s="28"/>
      <c r="D35" s="2">
        <v>400</v>
      </c>
      <c r="E35" s="42"/>
      <c r="F35" s="47"/>
      <c r="G35" s="49"/>
      <c r="H35" s="47">
        <f t="shared" si="7"/>
        <v>0</v>
      </c>
      <c r="I35" s="49"/>
      <c r="J35" s="47">
        <f t="shared" si="7"/>
        <v>0</v>
      </c>
      <c r="K35" s="49"/>
      <c r="L35" s="97">
        <f t="shared" si="7"/>
        <v>0</v>
      </c>
      <c r="M35" s="32"/>
      <c r="N35" s="32"/>
      <c r="O35" s="32"/>
      <c r="P35" s="32"/>
    </row>
    <row r="36" spans="1:16" hidden="1">
      <c r="A36" s="3" t="s">
        <v>8</v>
      </c>
      <c r="B36" s="4" t="s">
        <v>9</v>
      </c>
      <c r="C36" s="28"/>
      <c r="D36" s="2">
        <v>320</v>
      </c>
      <c r="E36" s="41"/>
      <c r="F36" s="45"/>
      <c r="G36" s="44"/>
      <c r="H36" s="45">
        <f t="shared" si="7"/>
        <v>0</v>
      </c>
      <c r="I36" s="44"/>
      <c r="J36" s="45">
        <f t="shared" si="7"/>
        <v>0</v>
      </c>
      <c r="K36" s="44"/>
      <c r="L36" s="98">
        <f t="shared" si="7"/>
        <v>0</v>
      </c>
      <c r="M36" s="32"/>
      <c r="N36" s="32"/>
      <c r="O36" s="32"/>
      <c r="P36" s="32"/>
    </row>
    <row r="37" spans="1:16" ht="31.5" hidden="1">
      <c r="A37" s="3" t="s">
        <v>10</v>
      </c>
      <c r="B37" s="4" t="s">
        <v>60</v>
      </c>
      <c r="C37" s="28"/>
      <c r="D37" s="2" t="s">
        <v>61</v>
      </c>
      <c r="E37" s="2">
        <v>6</v>
      </c>
      <c r="F37" s="9">
        <v>1500</v>
      </c>
      <c r="G37" s="10"/>
      <c r="H37" s="10">
        <f>F37-G37</f>
        <v>1500</v>
      </c>
      <c r="I37" s="10"/>
      <c r="J37" s="10">
        <f>F37-I37</f>
        <v>1500</v>
      </c>
      <c r="K37" s="10"/>
      <c r="L37" s="36">
        <f>F37-K37</f>
        <v>1500</v>
      </c>
      <c r="M37" s="32"/>
      <c r="N37" s="32"/>
      <c r="O37" s="32"/>
      <c r="P37" s="32"/>
    </row>
    <row r="38" spans="1:16" hidden="1">
      <c r="A38" s="3" t="s">
        <v>12</v>
      </c>
      <c r="B38" s="4" t="s">
        <v>13</v>
      </c>
      <c r="C38" s="28"/>
      <c r="D38" s="2" t="s">
        <v>33</v>
      </c>
      <c r="E38" s="40">
        <v>10</v>
      </c>
      <c r="F38" s="46">
        <v>1512</v>
      </c>
      <c r="G38" s="43"/>
      <c r="H38" s="43">
        <f>F38-G38</f>
        <v>1512</v>
      </c>
      <c r="I38" s="43"/>
      <c r="J38" s="43">
        <f>F38-I38</f>
        <v>1512</v>
      </c>
      <c r="K38" s="43"/>
      <c r="L38" s="96">
        <f>F38-K38</f>
        <v>1512</v>
      </c>
      <c r="M38" s="32"/>
      <c r="N38" s="32"/>
      <c r="O38" s="32"/>
      <c r="P38" s="32"/>
    </row>
    <row r="39" spans="1:16" hidden="1">
      <c r="A39" s="3" t="s">
        <v>14</v>
      </c>
      <c r="B39" s="4" t="s">
        <v>15</v>
      </c>
      <c r="C39" s="28"/>
      <c r="D39" s="2" t="s">
        <v>33</v>
      </c>
      <c r="E39" s="41"/>
      <c r="F39" s="45"/>
      <c r="G39" s="44"/>
      <c r="H39" s="45"/>
      <c r="I39" s="44"/>
      <c r="J39" s="45"/>
      <c r="K39" s="44"/>
      <c r="L39" s="98"/>
      <c r="M39" s="32"/>
      <c r="N39" s="32"/>
      <c r="O39" s="32"/>
      <c r="P39" s="32"/>
    </row>
    <row r="40" spans="1:16" ht="31.5" hidden="1">
      <c r="A40" s="3">
        <v>9</v>
      </c>
      <c r="B40" s="6" t="s">
        <v>35</v>
      </c>
      <c r="C40" s="3"/>
      <c r="D40" s="2" t="s">
        <v>36</v>
      </c>
      <c r="E40" s="2">
        <v>0</v>
      </c>
      <c r="F40" s="9">
        <v>900</v>
      </c>
      <c r="G40" s="10"/>
      <c r="H40" s="10">
        <f t="shared" ref="H40:H41" si="8">F40-G40</f>
        <v>900</v>
      </c>
      <c r="I40" s="10"/>
      <c r="J40" s="10">
        <f>F40-I40</f>
        <v>900</v>
      </c>
      <c r="K40" s="10"/>
      <c r="L40" s="36">
        <f>F40-K40</f>
        <v>900</v>
      </c>
      <c r="M40" s="32"/>
      <c r="N40" s="32"/>
      <c r="O40" s="32"/>
      <c r="P40" s="32"/>
    </row>
    <row r="41" spans="1:16" ht="47.25" hidden="1">
      <c r="A41" s="3">
        <v>10</v>
      </c>
      <c r="B41" s="6" t="s">
        <v>79</v>
      </c>
      <c r="C41" s="3"/>
      <c r="D41" s="2" t="s">
        <v>81</v>
      </c>
      <c r="E41" s="2">
        <v>35</v>
      </c>
      <c r="F41" s="9">
        <v>1600</v>
      </c>
      <c r="G41" s="10"/>
      <c r="H41" s="10">
        <f t="shared" si="8"/>
        <v>1600</v>
      </c>
      <c r="I41" s="10"/>
      <c r="J41" s="12">
        <f>F41-I41</f>
        <v>1600</v>
      </c>
      <c r="K41" s="10"/>
      <c r="L41" s="35">
        <f>F41-K41</f>
        <v>1600</v>
      </c>
      <c r="M41" s="32"/>
      <c r="N41" s="32"/>
      <c r="O41" s="32"/>
      <c r="P41" s="32"/>
    </row>
    <row r="42" spans="1:16" hidden="1">
      <c r="A42" s="87" t="s">
        <v>73</v>
      </c>
      <c r="B42" s="88"/>
      <c r="C42" s="88"/>
      <c r="D42" s="88"/>
      <c r="E42" s="88"/>
      <c r="F42" s="88"/>
      <c r="G42" s="88"/>
      <c r="H42" s="88"/>
      <c r="I42" s="88"/>
      <c r="J42" s="88"/>
      <c r="K42" s="88"/>
      <c r="L42" s="88"/>
      <c r="M42" s="32"/>
      <c r="N42" s="32"/>
      <c r="O42" s="32"/>
      <c r="P42" s="32"/>
    </row>
    <row r="43" spans="1:16" hidden="1">
      <c r="A43" s="19"/>
      <c r="B43" s="20"/>
      <c r="C43" s="30"/>
      <c r="D43" s="20"/>
      <c r="E43" s="20"/>
      <c r="F43" s="20"/>
      <c r="G43" s="85" t="s">
        <v>74</v>
      </c>
      <c r="H43" s="86"/>
      <c r="I43" s="52" t="s">
        <v>75</v>
      </c>
      <c r="J43" s="53"/>
      <c r="K43" s="94" t="s">
        <v>76</v>
      </c>
      <c r="L43" s="95"/>
      <c r="M43" s="32"/>
      <c r="N43" s="32"/>
      <c r="O43" s="32"/>
      <c r="P43" s="32"/>
    </row>
    <row r="44" spans="1:16" hidden="1">
      <c r="A44" s="3" t="s">
        <v>0</v>
      </c>
      <c r="B44" s="4" t="s">
        <v>1</v>
      </c>
      <c r="C44" s="28"/>
      <c r="D44" s="2" t="s">
        <v>31</v>
      </c>
      <c r="E44" s="40">
        <v>6</v>
      </c>
      <c r="F44" s="46">
        <v>2470</v>
      </c>
      <c r="G44" s="43"/>
      <c r="H44" s="43">
        <f>F44-G44</f>
        <v>2470</v>
      </c>
      <c r="I44" s="43"/>
      <c r="J44" s="43">
        <f>F44-I44</f>
        <v>2470</v>
      </c>
      <c r="K44" s="43"/>
      <c r="L44" s="96"/>
      <c r="M44" s="32"/>
      <c r="N44" s="32"/>
      <c r="O44" s="32"/>
      <c r="P44" s="32"/>
    </row>
    <row r="45" spans="1:16" hidden="1">
      <c r="A45" s="3" t="s">
        <v>2</v>
      </c>
      <c r="B45" s="4" t="s">
        <v>3</v>
      </c>
      <c r="C45" s="28"/>
      <c r="D45" s="2" t="s">
        <v>32</v>
      </c>
      <c r="E45" s="42"/>
      <c r="F45" s="47"/>
      <c r="G45" s="49"/>
      <c r="H45" s="47">
        <f t="shared" ref="H45:H48" si="9">F45-G45</f>
        <v>0</v>
      </c>
      <c r="I45" s="49"/>
      <c r="J45" s="47">
        <f t="shared" ref="J45:J48" si="10">H45-I45</f>
        <v>0</v>
      </c>
      <c r="K45" s="49"/>
      <c r="L45" s="97"/>
      <c r="M45" s="32"/>
      <c r="N45" s="32"/>
      <c r="O45" s="32"/>
      <c r="P45" s="32"/>
    </row>
    <row r="46" spans="1:16" hidden="1">
      <c r="A46" s="3" t="s">
        <v>4</v>
      </c>
      <c r="B46" s="4" t="s">
        <v>5</v>
      </c>
      <c r="C46" s="28"/>
      <c r="D46" s="2">
        <v>400</v>
      </c>
      <c r="E46" s="42"/>
      <c r="F46" s="47"/>
      <c r="G46" s="49"/>
      <c r="H46" s="47">
        <f t="shared" si="9"/>
        <v>0</v>
      </c>
      <c r="I46" s="49"/>
      <c r="J46" s="47">
        <f t="shared" si="10"/>
        <v>0</v>
      </c>
      <c r="K46" s="49"/>
      <c r="L46" s="97"/>
      <c r="M46" s="32"/>
      <c r="N46" s="32"/>
      <c r="O46" s="32"/>
      <c r="P46" s="32"/>
    </row>
    <row r="47" spans="1:16" hidden="1">
      <c r="A47" s="3" t="s">
        <v>6</v>
      </c>
      <c r="B47" s="4" t="s">
        <v>7</v>
      </c>
      <c r="C47" s="28"/>
      <c r="D47" s="2">
        <v>400</v>
      </c>
      <c r="E47" s="42"/>
      <c r="F47" s="47"/>
      <c r="G47" s="49"/>
      <c r="H47" s="47">
        <f t="shared" si="9"/>
        <v>0</v>
      </c>
      <c r="I47" s="49"/>
      <c r="J47" s="47">
        <f t="shared" si="10"/>
        <v>0</v>
      </c>
      <c r="K47" s="49"/>
      <c r="L47" s="97"/>
      <c r="M47" s="32"/>
      <c r="N47" s="32"/>
      <c r="O47" s="32"/>
      <c r="P47" s="32"/>
    </row>
    <row r="48" spans="1:16" hidden="1">
      <c r="A48" s="3" t="s">
        <v>8</v>
      </c>
      <c r="B48" s="4" t="s">
        <v>9</v>
      </c>
      <c r="C48" s="28"/>
      <c r="D48" s="2">
        <v>320</v>
      </c>
      <c r="E48" s="41"/>
      <c r="F48" s="45"/>
      <c r="G48" s="44"/>
      <c r="H48" s="45">
        <f t="shared" si="9"/>
        <v>0</v>
      </c>
      <c r="I48" s="44"/>
      <c r="J48" s="45">
        <f t="shared" si="10"/>
        <v>0</v>
      </c>
      <c r="K48" s="44"/>
      <c r="L48" s="98"/>
      <c r="M48" s="32"/>
      <c r="N48" s="32"/>
      <c r="O48" s="32"/>
      <c r="P48" s="32"/>
    </row>
    <row r="49" spans="1:16" ht="31.5" hidden="1">
      <c r="A49" s="3" t="s">
        <v>10</v>
      </c>
      <c r="B49" s="4" t="s">
        <v>60</v>
      </c>
      <c r="C49" s="28"/>
      <c r="D49" s="2" t="s">
        <v>61</v>
      </c>
      <c r="E49" s="2">
        <v>6</v>
      </c>
      <c r="F49" s="9">
        <v>1500</v>
      </c>
      <c r="G49" s="10"/>
      <c r="H49" s="10">
        <f>F49-G49</f>
        <v>1500</v>
      </c>
      <c r="I49" s="10"/>
      <c r="J49" s="10">
        <f>F49-I49</f>
        <v>1500</v>
      </c>
      <c r="K49" s="10"/>
      <c r="L49" s="36"/>
      <c r="M49" s="32"/>
      <c r="N49" s="32"/>
      <c r="O49" s="32"/>
      <c r="P49" s="32"/>
    </row>
    <row r="50" spans="1:16" hidden="1">
      <c r="A50" s="3" t="s">
        <v>12</v>
      </c>
      <c r="B50" s="4" t="s">
        <v>13</v>
      </c>
      <c r="C50" s="28"/>
      <c r="D50" s="2" t="s">
        <v>33</v>
      </c>
      <c r="E50" s="40">
        <v>10</v>
      </c>
      <c r="F50" s="46">
        <v>1512</v>
      </c>
      <c r="G50" s="43"/>
      <c r="H50" s="43">
        <f>F50-G50</f>
        <v>1512</v>
      </c>
      <c r="I50" s="43"/>
      <c r="J50" s="43">
        <f>F50-I50</f>
        <v>1512</v>
      </c>
      <c r="K50" s="43"/>
      <c r="L50" s="96"/>
      <c r="M50" s="32"/>
      <c r="N50" s="32"/>
      <c r="O50" s="32"/>
      <c r="P50" s="32"/>
    </row>
    <row r="51" spans="1:16" hidden="1">
      <c r="A51" s="3" t="s">
        <v>14</v>
      </c>
      <c r="B51" s="4" t="s">
        <v>15</v>
      </c>
      <c r="C51" s="28"/>
      <c r="D51" s="2" t="s">
        <v>33</v>
      </c>
      <c r="E51" s="41"/>
      <c r="F51" s="45"/>
      <c r="G51" s="44"/>
      <c r="H51" s="45"/>
      <c r="I51" s="44"/>
      <c r="J51" s="45"/>
      <c r="K51" s="44"/>
      <c r="L51" s="98"/>
      <c r="M51" s="32"/>
      <c r="N51" s="32"/>
      <c r="O51" s="32"/>
      <c r="P51" s="32"/>
    </row>
    <row r="52" spans="1:16" ht="31.5" hidden="1">
      <c r="A52" s="3">
        <v>9</v>
      </c>
      <c r="B52" s="6" t="s">
        <v>35</v>
      </c>
      <c r="C52" s="3"/>
      <c r="D52" s="2" t="s">
        <v>36</v>
      </c>
      <c r="E52" s="2">
        <v>0</v>
      </c>
      <c r="F52" s="9">
        <v>900</v>
      </c>
      <c r="G52" s="10"/>
      <c r="H52" s="10">
        <f t="shared" ref="H52:H53" si="11">F52-G52</f>
        <v>900</v>
      </c>
      <c r="I52" s="10"/>
      <c r="J52" s="10">
        <f>F52-I52</f>
        <v>900</v>
      </c>
      <c r="K52" s="10"/>
      <c r="L52" s="36"/>
      <c r="M52" s="32"/>
      <c r="N52" s="32"/>
      <c r="O52" s="32"/>
      <c r="P52" s="32"/>
    </row>
    <row r="53" spans="1:16" ht="47.25" hidden="1">
      <c r="A53" s="3">
        <v>10</v>
      </c>
      <c r="B53" s="6" t="s">
        <v>79</v>
      </c>
      <c r="C53" s="3"/>
      <c r="D53" s="2" t="s">
        <v>81</v>
      </c>
      <c r="E53" s="2">
        <v>35</v>
      </c>
      <c r="F53" s="9">
        <v>1600</v>
      </c>
      <c r="G53" s="10"/>
      <c r="H53" s="10">
        <f t="shared" si="11"/>
        <v>1600</v>
      </c>
      <c r="I53" s="10"/>
      <c r="J53" s="12">
        <f>F53-I53</f>
        <v>1600</v>
      </c>
      <c r="K53" s="10"/>
      <c r="L53" s="35"/>
      <c r="M53" s="32"/>
      <c r="N53" s="32"/>
      <c r="O53" s="32"/>
      <c r="P53" s="32"/>
    </row>
    <row r="54" spans="1:16" hidden="1">
      <c r="M54" s="32"/>
      <c r="N54" s="32"/>
      <c r="O54" s="32"/>
      <c r="P54" s="32"/>
    </row>
    <row r="55" spans="1:16" hidden="1">
      <c r="M55" s="32"/>
      <c r="N55" s="32"/>
      <c r="O55" s="32"/>
      <c r="P55" s="32"/>
    </row>
    <row r="56" spans="1:16">
      <c r="B56" s="2" t="s">
        <v>88</v>
      </c>
      <c r="C56" s="2"/>
      <c r="D56" s="5"/>
      <c r="E56" s="5"/>
      <c r="F56" s="34">
        <f t="shared" ref="F56:G56" si="12">F7+F12+F13+F15+F16</f>
        <v>7982</v>
      </c>
      <c r="G56" s="34">
        <f t="shared" si="12"/>
        <v>1956</v>
      </c>
      <c r="H56" s="34">
        <f>H7+H12+H13+H15+H16</f>
        <v>6026</v>
      </c>
      <c r="I56" s="34">
        <f t="shared" ref="I56:L56" si="13">I7+I12+I13+I15+I16</f>
        <v>1492</v>
      </c>
      <c r="J56" s="34">
        <f t="shared" si="13"/>
        <v>6490</v>
      </c>
      <c r="K56" s="34">
        <f t="shared" si="13"/>
        <v>1779</v>
      </c>
      <c r="L56" s="37">
        <f t="shared" si="13"/>
        <v>6203</v>
      </c>
      <c r="M56" s="33">
        <f>(H56+J56+L56)/3</f>
        <v>6239.666666666667</v>
      </c>
      <c r="N56" s="32"/>
      <c r="O56" s="32"/>
      <c r="P56" s="32"/>
    </row>
    <row r="57" spans="1:16">
      <c r="B57" s="2" t="s">
        <v>86</v>
      </c>
      <c r="C57" s="2"/>
      <c r="D57" s="5"/>
      <c r="E57" s="5"/>
      <c r="F57" s="5">
        <f>F16</f>
        <v>1600</v>
      </c>
      <c r="G57" s="5">
        <f t="shared" ref="G57:L57" si="14">G16</f>
        <v>142</v>
      </c>
      <c r="H57" s="5">
        <f t="shared" si="14"/>
        <v>1458</v>
      </c>
      <c r="I57" s="5">
        <f t="shared" si="14"/>
        <v>150</v>
      </c>
      <c r="J57" s="5">
        <f t="shared" si="14"/>
        <v>1450</v>
      </c>
      <c r="K57" s="5">
        <f t="shared" si="14"/>
        <v>179</v>
      </c>
      <c r="L57" s="38">
        <f t="shared" si="14"/>
        <v>1421</v>
      </c>
      <c r="M57" s="33">
        <f t="shared" ref="M57:M58" si="15">(H57+J57+L57)/3</f>
        <v>1443</v>
      </c>
      <c r="N57" s="32"/>
      <c r="O57" s="32"/>
      <c r="P57" s="32"/>
    </row>
    <row r="58" spans="1:16">
      <c r="B58" s="2" t="s">
        <v>87</v>
      </c>
      <c r="C58" s="2"/>
      <c r="D58" s="5"/>
      <c r="E58" s="5"/>
      <c r="F58" s="34">
        <f>F56-F57</f>
        <v>6382</v>
      </c>
      <c r="G58" s="34">
        <f t="shared" ref="G58:L58" si="16">G56-G57</f>
        <v>1814</v>
      </c>
      <c r="H58" s="34">
        <f t="shared" si="16"/>
        <v>4568</v>
      </c>
      <c r="I58" s="34">
        <f t="shared" si="16"/>
        <v>1342</v>
      </c>
      <c r="J58" s="34">
        <f t="shared" si="16"/>
        <v>5040</v>
      </c>
      <c r="K58" s="34">
        <f t="shared" si="16"/>
        <v>1600</v>
      </c>
      <c r="L58" s="37">
        <f t="shared" si="16"/>
        <v>4782</v>
      </c>
      <c r="M58" s="33">
        <f t="shared" si="15"/>
        <v>4796.666666666667</v>
      </c>
      <c r="N58" s="32"/>
      <c r="O58" s="32"/>
      <c r="P58" s="32"/>
    </row>
    <row r="59" spans="1:16">
      <c r="B59" s="2"/>
      <c r="C59" s="2"/>
      <c r="D59" s="5"/>
      <c r="E59" s="5"/>
      <c r="F59" s="5"/>
      <c r="G59" s="5"/>
      <c r="H59" s="5"/>
      <c r="I59" s="5"/>
      <c r="J59" s="5"/>
      <c r="K59" s="5"/>
      <c r="L59" s="5"/>
    </row>
  </sheetData>
  <mergeCells count="84">
    <mergeCell ref="C13:C14"/>
    <mergeCell ref="J50:J51"/>
    <mergeCell ref="K50:K51"/>
    <mergeCell ref="L50:L51"/>
    <mergeCell ref="E50:E51"/>
    <mergeCell ref="F50:F51"/>
    <mergeCell ref="G50:G51"/>
    <mergeCell ref="H50:H51"/>
    <mergeCell ref="I50:I51"/>
    <mergeCell ref="A42:L42"/>
    <mergeCell ref="G43:H43"/>
    <mergeCell ref="I43:J43"/>
    <mergeCell ref="K43:L43"/>
    <mergeCell ref="E44:E48"/>
    <mergeCell ref="F44:F48"/>
    <mergeCell ref="G44:G48"/>
    <mergeCell ref="H44:H48"/>
    <mergeCell ref="I44:I48"/>
    <mergeCell ref="J44:J48"/>
    <mergeCell ref="K44:K48"/>
    <mergeCell ref="L44:L48"/>
    <mergeCell ref="A30:L30"/>
    <mergeCell ref="G31:H31"/>
    <mergeCell ref="I31:J31"/>
    <mergeCell ref="K31:L31"/>
    <mergeCell ref="A19:F19"/>
    <mergeCell ref="E26:E27"/>
    <mergeCell ref="E20:E24"/>
    <mergeCell ref="L20:L24"/>
    <mergeCell ref="F26:F27"/>
    <mergeCell ref="G26:G27"/>
    <mergeCell ref="H26:H27"/>
    <mergeCell ref="I26:I27"/>
    <mergeCell ref="J26:J27"/>
    <mergeCell ref="K26:K27"/>
    <mergeCell ref="L26:L27"/>
    <mergeCell ref="F20:F24"/>
    <mergeCell ref="K32:K36"/>
    <mergeCell ref="L32:L36"/>
    <mergeCell ref="E38:E39"/>
    <mergeCell ref="F38:F39"/>
    <mergeCell ref="G38:G39"/>
    <mergeCell ref="H38:H39"/>
    <mergeCell ref="I38:I39"/>
    <mergeCell ref="J38:J39"/>
    <mergeCell ref="K38:K39"/>
    <mergeCell ref="L38:L39"/>
    <mergeCell ref="E32:E36"/>
    <mergeCell ref="F32:F36"/>
    <mergeCell ref="G32:G36"/>
    <mergeCell ref="H32:H36"/>
    <mergeCell ref="I32:I36"/>
    <mergeCell ref="J32:J36"/>
    <mergeCell ref="A18:L18"/>
    <mergeCell ref="G19:H19"/>
    <mergeCell ref="I19:J19"/>
    <mergeCell ref="K19:L19"/>
    <mergeCell ref="I6:J6"/>
    <mergeCell ref="K6:L6"/>
    <mergeCell ref="E13:E14"/>
    <mergeCell ref="F13:F14"/>
    <mergeCell ref="G13:G14"/>
    <mergeCell ref="H13:H14"/>
    <mergeCell ref="I13:I14"/>
    <mergeCell ref="J13:J14"/>
    <mergeCell ref="K13:K14"/>
    <mergeCell ref="L13:L14"/>
    <mergeCell ref="E7:E11"/>
    <mergeCell ref="F7:F11"/>
    <mergeCell ref="G20:G24"/>
    <mergeCell ref="H20:H24"/>
    <mergeCell ref="I20:I24"/>
    <mergeCell ref="J20:J24"/>
    <mergeCell ref="K20:K24"/>
    <mergeCell ref="L7:L11"/>
    <mergeCell ref="G6:H6"/>
    <mergeCell ref="A1:L1"/>
    <mergeCell ref="A2:L2"/>
    <mergeCell ref="G7:G11"/>
    <mergeCell ref="H7:H11"/>
    <mergeCell ref="I7:I11"/>
    <mergeCell ref="J7:J11"/>
    <mergeCell ref="K7:K11"/>
    <mergeCell ref="A5:L5"/>
  </mergeCells>
  <phoneticPr fontId="3" type="noConversion"/>
  <pageMargins left="0.31496062992125984" right="0.31496062992125984" top="0.35433070866141736" bottom="0.35433070866141736" header="0.31496062992125984" footer="0.31496062992125984"/>
  <pageSetup paperSize="9"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FFAE-1A6F-45FB-BA19-CEEE64470F16}">
  <sheetPr>
    <pageSetUpPr fitToPage="1"/>
  </sheetPr>
  <dimension ref="A1:G1"/>
  <sheetViews>
    <sheetView tabSelected="1" workbookViewId="0">
      <selection sqref="A1:G1"/>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103" customFormat="1" ht="351" customHeight="1">
      <c r="A1" s="104" t="s">
        <v>93</v>
      </c>
      <c r="B1" s="104"/>
      <c r="C1" s="104"/>
      <c r="D1" s="104"/>
      <c r="E1" s="104"/>
      <c r="F1" s="104"/>
      <c r="G1" s="104"/>
    </row>
  </sheetData>
  <mergeCells count="1">
    <mergeCell ref="A1:G1"/>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1 кв.</vt:lpstr>
      <vt:lpstr>2 кв. </vt:lpstr>
      <vt:lpstr>3 </vt:lpstr>
      <vt:lpstr>3 кв.</vt:lpstr>
      <vt:lpstr>4 кв. </vt:lpstr>
      <vt:lpstr>3 кв. 2016</vt:lpstr>
      <vt:lpstr>4 кв. 2-016</vt:lpstr>
      <vt:lpstr>Общ</vt:lpstr>
      <vt:lpstr>резерв по кварталам</vt:lpstr>
      <vt:lpstr>'1 кв.'!Область_печати</vt:lpstr>
      <vt:lpstr>'2 кв. '!Область_печати</vt:lpstr>
      <vt:lpstr>'3 '!Область_печати</vt:lpstr>
      <vt:lpstr>'3 кв.'!Область_печати</vt:lpstr>
      <vt:lpstr>'4 кв. '!Область_печати</vt:lpstr>
      <vt:lpstr>Общ!Область_печати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2021-04-23T07:02:19Z</cp:lastPrinted>
  <dcterms:created xsi:type="dcterms:W3CDTF">2016-02-25T15:45:55Z</dcterms:created>
  <dcterms:modified xsi:type="dcterms:W3CDTF">2022-05-31T15:13:15Z</dcterms:modified>
</cp:coreProperties>
</file>